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70" yWindow="65446" windowWidth="21675" windowHeight="13095" activeTab="1"/>
  </bookViews>
  <sheets>
    <sheet name="様式" sheetId="1" r:id="rId1"/>
    <sheet name="記入例" sheetId="2" r:id="rId2"/>
    <sheet name="条件" sheetId="3" state="hidden" r:id="rId3"/>
    <sheet name="機能説明" sheetId="4" state="hidden" r:id="rId4"/>
  </sheets>
  <definedNames>
    <definedName name="_xlnm.Print_Area" localSheetId="0">'様式'!$B$1:$CE$71</definedName>
    <definedName name="樹木">'条件'!$B$3:$B$5</definedName>
  </definedNames>
  <calcPr fullCalcOnLoad="1"/>
</workbook>
</file>

<file path=xl/comments1.xml><?xml version="1.0" encoding="utf-8"?>
<comments xmlns="http://schemas.openxmlformats.org/spreadsheetml/2006/main">
  <authors>
    <author>鋸谷</author>
    <author>Kazutake</author>
  </authors>
  <commentList>
    <comment ref="C4" authorId="0">
      <text>
        <r>
          <rPr>
            <sz val="12"/>
            <rFont val="ＭＳ Ｐゴシック"/>
            <family val="3"/>
          </rPr>
          <t>　林分の主要樹種を入れる。</t>
        </r>
      </text>
    </comment>
    <comment ref="V53" authorId="0">
      <text>
        <r>
          <rPr>
            <sz val="10"/>
            <rFont val="ＭＳ Ｐゴシック"/>
            <family val="3"/>
          </rPr>
          <t>　材積の比率は、胸髙断面積合計の比率とほぼ同じになります。</t>
        </r>
      </text>
    </comment>
    <comment ref="AV63" authorId="0">
      <text>
        <r>
          <rPr>
            <sz val="12"/>
            <rFont val="ＭＳ Ｐゴシック"/>
            <family val="3"/>
          </rPr>
          <t>　間伐手遅れ林やヒノキ林では、気象災害等を考慮し、６つの判定項目のうち緑が４項目以上でも、１回の</t>
        </r>
        <r>
          <rPr>
            <sz val="12"/>
            <color indexed="10"/>
            <rFont val="ＭＳ Ｐゴシック"/>
            <family val="3"/>
          </rPr>
          <t>間伐材積率は ３５％ 程度以下</t>
        </r>
        <r>
          <rPr>
            <sz val="12"/>
            <rFont val="ＭＳ Ｐゴシック"/>
            <family val="3"/>
          </rPr>
          <t>が望ましい。　</t>
        </r>
      </text>
    </comment>
    <comment ref="BF37" authorId="0">
      <text>
        <r>
          <rPr>
            <sz val="10"/>
            <rFont val="ＭＳ Ｐゴシック"/>
            <family val="3"/>
          </rPr>
          <t>　１０年先の本数間伐率を入れる。</t>
        </r>
      </text>
    </comment>
    <comment ref="BE48" authorId="0">
      <text>
        <r>
          <rPr>
            <sz val="10"/>
            <rFont val="ＭＳ Ｐゴシック"/>
            <family val="3"/>
          </rPr>
          <t>　１０年先の間伐後の平均胸髙直径と平均樹高の変更予想値を入れる。「０」でもOK</t>
        </r>
      </text>
    </comment>
    <comment ref="BE47" authorId="0">
      <text>
        <r>
          <rPr>
            <sz val="10"/>
            <rFont val="ＭＳ Ｐゴシック"/>
            <family val="3"/>
          </rPr>
          <t>　これまでの成長量や樹種、地理条件等を考慮し、表３、表４を参考に１０年間の胸髙直径と樹高の成長見込数値を入れる。</t>
        </r>
      </text>
    </comment>
    <comment ref="BF12" authorId="0">
      <text>
        <r>
          <rPr>
            <b/>
            <sz val="10"/>
            <rFont val="ＭＳ Ｐゴシック"/>
            <family val="3"/>
          </rPr>
          <t>　</t>
        </r>
        <r>
          <rPr>
            <b/>
            <sz val="12"/>
            <rFont val="ＭＳ Ｐゴシック"/>
            <family val="3"/>
          </rPr>
          <t>樹種、地理条件等を考慮し、表１を参考に限界胸髙断面積合計の数値を入れる。</t>
        </r>
        <r>
          <rPr>
            <sz val="12"/>
            <rFont val="ＭＳ Ｐゴシック"/>
            <family val="3"/>
          </rPr>
          <t xml:space="preserve">
　本グラフでは、胸髙直径から、表１の黄色ﾏｰｸの数値を自動引用しています。</t>
        </r>
      </text>
    </comment>
    <comment ref="BK12" authorId="0">
      <text>
        <r>
          <rPr>
            <b/>
            <sz val="12"/>
            <rFont val="ＭＳ Ｐゴシック"/>
            <family val="3"/>
          </rPr>
          <t xml:space="preserve">　樹種、地理条件等を考慮し、表２を参考に限界形状比の数値を入れる。
</t>
        </r>
        <r>
          <rPr>
            <sz val="12"/>
            <rFont val="ＭＳ Ｐゴシック"/>
            <family val="3"/>
          </rPr>
          <t>　本グラフでは、胸髙直径から、表２の黄色ﾏｰｸの数値を自動引用しています。</t>
        </r>
      </text>
    </comment>
    <comment ref="H11" authorId="0">
      <text>
        <r>
          <rPr>
            <sz val="10"/>
            <rFont val="ＭＳ Ｐゴシック"/>
            <family val="3"/>
          </rPr>
          <t>　樹種別の材積を自動計算します</t>
        </r>
      </text>
    </comment>
    <comment ref="O46" authorId="1">
      <text>
        <r>
          <rPr>
            <sz val="10"/>
            <rFont val="ＭＳ Ｐゴシック"/>
            <family val="3"/>
          </rPr>
          <t>1/2優勢木、1/2劣勢木のデータは間伐強度を決めるときの参考になります。</t>
        </r>
      </text>
    </comment>
    <comment ref="F11" authorId="1">
      <text>
        <r>
          <rPr>
            <sz val="11"/>
            <rFont val="ＭＳ Ｐゴシック"/>
            <family val="3"/>
          </rPr>
          <t>　</t>
        </r>
        <r>
          <rPr>
            <sz val="12"/>
            <rFont val="ＭＳ Ｐゴシック"/>
            <family val="3"/>
          </rPr>
          <t>樹高と枝下髙は、残す木、間伐木、それぞれの標準木を1本以上計測する。</t>
        </r>
      </text>
    </comment>
    <comment ref="G11" authorId="1">
      <text>
        <r>
          <rPr>
            <sz val="11"/>
            <rFont val="ＭＳ Ｐゴシック"/>
            <family val="3"/>
          </rPr>
          <t>　</t>
        </r>
        <r>
          <rPr>
            <sz val="12"/>
            <rFont val="ＭＳ Ｐゴシック"/>
            <family val="3"/>
          </rPr>
          <t>樹高と枝下髙は、残す木、間伐木、それぞれの標準木を1本以上計測する。</t>
        </r>
      </text>
    </comment>
    <comment ref="G8" authorId="1">
      <text>
        <r>
          <rPr>
            <sz val="12"/>
            <rFont val="ＭＳ Ｐゴシック"/>
            <family val="3"/>
          </rPr>
          <t>プロット面積
　半径　４．０ｍの円は、　 ５０㎡
　半径 ５．６５ｍの円は、１００㎡
　半径　８。０ｍの円は、  ２００㎡
　半径 １１．３ｍの円は、４００㎡
　半径 １６。０ｍの円は、 ８００㎡</t>
        </r>
      </text>
    </comment>
    <comment ref="AI8" authorId="1">
      <text>
        <r>
          <rPr>
            <sz val="11"/>
            <rFont val="ＭＳ Ｐゴシック"/>
            <family val="3"/>
          </rPr>
          <t>　</t>
        </r>
        <r>
          <rPr>
            <sz val="12"/>
            <rFont val="ＭＳ Ｐゴシック"/>
            <family val="3"/>
          </rPr>
          <t>調査データの記入が無いときは、面積を記入しない！！</t>
        </r>
      </text>
    </comment>
    <comment ref="BF47" authorId="0">
      <text>
        <r>
          <rPr>
            <sz val="10"/>
            <rFont val="ＭＳ Ｐゴシック"/>
            <family val="3"/>
          </rPr>
          <t>　これまでの成長量や樹種、地理条件等を考慮し、表３、表４を参考に１０年間の胸髙直径と樹高の成長見込数値を入れる。</t>
        </r>
      </text>
    </comment>
    <comment ref="D11" authorId="1">
      <text>
        <r>
          <rPr>
            <sz val="12"/>
            <rFont val="ＭＳ Ｐゴシック"/>
            <family val="3"/>
          </rPr>
          <t>　樹種の入力前に、プロット面積を入力してください。</t>
        </r>
      </text>
    </comment>
    <comment ref="C11" authorId="1">
      <text>
        <r>
          <rPr>
            <b/>
            <sz val="12"/>
            <rFont val="ＭＳ Ｐゴシック"/>
            <family val="3"/>
          </rPr>
          <t>　間伐対象木に「×」を入力してください。</t>
        </r>
      </text>
    </comment>
    <comment ref="C12" authorId="1">
      <text>
        <r>
          <rPr>
            <b/>
            <sz val="12"/>
            <rFont val="ＭＳ Ｐゴシック"/>
            <family val="3"/>
          </rPr>
          <t>　間伐対象木に「×」を入力してください。</t>
        </r>
      </text>
    </comment>
    <comment ref="C13" authorId="1">
      <text>
        <r>
          <rPr>
            <b/>
            <sz val="12"/>
            <rFont val="ＭＳ Ｐゴシック"/>
            <family val="3"/>
          </rPr>
          <t>　間伐対象木に「×」を入力してください。</t>
        </r>
      </text>
    </comment>
    <comment ref="C14" authorId="1">
      <text>
        <r>
          <rPr>
            <b/>
            <sz val="12"/>
            <rFont val="ＭＳ Ｐゴシック"/>
            <family val="3"/>
          </rPr>
          <t>　間伐対象木に「×」を入力してください。</t>
        </r>
      </text>
    </comment>
    <comment ref="C15" authorId="1">
      <text>
        <r>
          <rPr>
            <b/>
            <sz val="12"/>
            <rFont val="ＭＳ Ｐゴシック"/>
            <family val="3"/>
          </rPr>
          <t>　間伐対象木に「×」を入力してください。</t>
        </r>
      </text>
    </comment>
    <comment ref="C16" authorId="1">
      <text>
        <r>
          <rPr>
            <b/>
            <sz val="12"/>
            <rFont val="ＭＳ Ｐゴシック"/>
            <family val="3"/>
          </rPr>
          <t>　間伐対象木に「×」を入力してください。</t>
        </r>
      </text>
    </comment>
    <comment ref="C17" authorId="1">
      <text>
        <r>
          <rPr>
            <b/>
            <sz val="12"/>
            <rFont val="ＭＳ Ｐゴシック"/>
            <family val="3"/>
          </rPr>
          <t>　間伐対象木に「×」を入力してください。</t>
        </r>
      </text>
    </comment>
    <comment ref="C18" authorId="1">
      <text>
        <r>
          <rPr>
            <b/>
            <sz val="12"/>
            <rFont val="ＭＳ Ｐゴシック"/>
            <family val="3"/>
          </rPr>
          <t>　間伐対象木に「×」を入力してください。</t>
        </r>
      </text>
    </comment>
    <comment ref="C19" authorId="1">
      <text>
        <r>
          <rPr>
            <b/>
            <sz val="12"/>
            <rFont val="ＭＳ Ｐゴシック"/>
            <family val="3"/>
          </rPr>
          <t>　間伐対象木に「×」を入力してください。</t>
        </r>
      </text>
    </comment>
    <comment ref="C20" authorId="1">
      <text>
        <r>
          <rPr>
            <b/>
            <sz val="12"/>
            <rFont val="ＭＳ Ｐゴシック"/>
            <family val="3"/>
          </rPr>
          <t>　間伐対象木に「×」を入力してください。</t>
        </r>
      </text>
    </comment>
    <comment ref="C21" authorId="1">
      <text>
        <r>
          <rPr>
            <b/>
            <sz val="12"/>
            <rFont val="ＭＳ Ｐゴシック"/>
            <family val="3"/>
          </rPr>
          <t>　間伐対象木に「×」を入力してください。</t>
        </r>
      </text>
    </comment>
    <comment ref="C22" authorId="1">
      <text>
        <r>
          <rPr>
            <b/>
            <sz val="12"/>
            <rFont val="ＭＳ Ｐゴシック"/>
            <family val="3"/>
          </rPr>
          <t>　間伐対象木に「×」を入力してください。</t>
        </r>
      </text>
    </comment>
    <comment ref="C23" authorId="1">
      <text>
        <r>
          <rPr>
            <b/>
            <sz val="12"/>
            <rFont val="ＭＳ Ｐゴシック"/>
            <family val="3"/>
          </rPr>
          <t>　間伐対象木に「×」を入力してください。</t>
        </r>
      </text>
    </comment>
    <comment ref="C24" authorId="1">
      <text>
        <r>
          <rPr>
            <b/>
            <sz val="12"/>
            <rFont val="ＭＳ Ｐゴシック"/>
            <family val="3"/>
          </rPr>
          <t>　間伐対象木に「×」を入力してください。</t>
        </r>
      </text>
    </comment>
    <comment ref="C25" authorId="1">
      <text>
        <r>
          <rPr>
            <b/>
            <sz val="12"/>
            <rFont val="ＭＳ Ｐゴシック"/>
            <family val="3"/>
          </rPr>
          <t>　間伐対象木に「×」を入力してください。</t>
        </r>
      </text>
    </comment>
    <comment ref="C26" authorId="1">
      <text>
        <r>
          <rPr>
            <b/>
            <sz val="12"/>
            <rFont val="ＭＳ Ｐゴシック"/>
            <family val="3"/>
          </rPr>
          <t>　間伐対象木に「×」を入力してください。</t>
        </r>
      </text>
    </comment>
    <comment ref="C27" authorId="1">
      <text>
        <r>
          <rPr>
            <b/>
            <sz val="12"/>
            <rFont val="ＭＳ Ｐゴシック"/>
            <family val="3"/>
          </rPr>
          <t>　間伐対象木に「×」を入力してください。</t>
        </r>
      </text>
    </comment>
    <comment ref="C28" authorId="1">
      <text>
        <r>
          <rPr>
            <b/>
            <sz val="12"/>
            <rFont val="ＭＳ Ｐゴシック"/>
            <family val="3"/>
          </rPr>
          <t>　間伐対象木に「×」を入力してください。</t>
        </r>
      </text>
    </comment>
    <comment ref="C29" authorId="1">
      <text>
        <r>
          <rPr>
            <b/>
            <sz val="12"/>
            <rFont val="ＭＳ Ｐゴシック"/>
            <family val="3"/>
          </rPr>
          <t>　間伐対象木に「×」を入力してください。</t>
        </r>
      </text>
    </comment>
    <comment ref="C30" authorId="1">
      <text>
        <r>
          <rPr>
            <b/>
            <sz val="12"/>
            <rFont val="ＭＳ Ｐゴシック"/>
            <family val="3"/>
          </rPr>
          <t>　間伐対象木に「×」を入力してください。</t>
        </r>
      </text>
    </comment>
    <comment ref="C31" authorId="1">
      <text>
        <r>
          <rPr>
            <b/>
            <sz val="12"/>
            <rFont val="ＭＳ Ｐゴシック"/>
            <family val="3"/>
          </rPr>
          <t>　間伐対象木に「×」を入力してください。</t>
        </r>
      </text>
    </comment>
    <comment ref="C32" authorId="1">
      <text>
        <r>
          <rPr>
            <b/>
            <sz val="12"/>
            <rFont val="ＭＳ Ｐゴシック"/>
            <family val="3"/>
          </rPr>
          <t>　間伐対象木に「×」を入力してください。</t>
        </r>
      </text>
    </comment>
    <comment ref="C33" authorId="1">
      <text>
        <r>
          <rPr>
            <b/>
            <sz val="12"/>
            <rFont val="ＭＳ Ｐゴシック"/>
            <family val="3"/>
          </rPr>
          <t>　間伐対象木に「×」を入力してください。</t>
        </r>
      </text>
    </comment>
    <comment ref="C34" authorId="1">
      <text>
        <r>
          <rPr>
            <b/>
            <sz val="12"/>
            <rFont val="ＭＳ Ｐゴシック"/>
            <family val="3"/>
          </rPr>
          <t>　間伐対象木に「×」を入力してください。</t>
        </r>
      </text>
    </comment>
    <comment ref="C35" authorId="1">
      <text>
        <r>
          <rPr>
            <b/>
            <sz val="12"/>
            <rFont val="ＭＳ Ｐゴシック"/>
            <family val="3"/>
          </rPr>
          <t>　間伐対象木に「×」を入力してください。</t>
        </r>
      </text>
    </comment>
    <comment ref="Q11" authorId="1">
      <text>
        <r>
          <rPr>
            <b/>
            <sz val="12"/>
            <rFont val="ＭＳ Ｐゴシック"/>
            <family val="3"/>
          </rPr>
          <t>　間伐対象木に「×」を入力してください。</t>
        </r>
      </text>
    </comment>
    <comment ref="AE11" authorId="1">
      <text>
        <r>
          <rPr>
            <b/>
            <sz val="12"/>
            <rFont val="ＭＳ Ｐゴシック"/>
            <family val="3"/>
          </rPr>
          <t>　間伐対象木に「×」を入力してください。</t>
        </r>
      </text>
    </comment>
    <comment ref="AF11" authorId="1">
      <text>
        <r>
          <rPr>
            <sz val="12"/>
            <rFont val="ＭＳ Ｐゴシック"/>
            <family val="3"/>
          </rPr>
          <t>　樹種の入力前に、プロット面積を入力してください。</t>
        </r>
      </text>
    </comment>
    <comment ref="R11" authorId="1">
      <text>
        <r>
          <rPr>
            <sz val="12"/>
            <rFont val="ＭＳ Ｐゴシック"/>
            <family val="3"/>
          </rPr>
          <t>　樹種の入力前に、プロット面積を入力してください。</t>
        </r>
      </text>
    </comment>
    <comment ref="U8" authorId="1">
      <text>
        <r>
          <rPr>
            <sz val="11"/>
            <rFont val="ＭＳ Ｐゴシック"/>
            <family val="3"/>
          </rPr>
          <t>　</t>
        </r>
        <r>
          <rPr>
            <sz val="12"/>
            <rFont val="ＭＳ Ｐゴシック"/>
            <family val="3"/>
          </rPr>
          <t>調査データの記入が無いときは、面積を記入しない！！</t>
        </r>
      </text>
    </comment>
  </commentList>
</comments>
</file>

<file path=xl/comments2.xml><?xml version="1.0" encoding="utf-8"?>
<comments xmlns="http://schemas.openxmlformats.org/spreadsheetml/2006/main">
  <authors>
    <author>鋸谷</author>
    <author>Kazutake</author>
  </authors>
  <commentList>
    <comment ref="C4" authorId="0">
      <text>
        <r>
          <rPr>
            <sz val="12"/>
            <rFont val="ＭＳ Ｐゴシック"/>
            <family val="3"/>
          </rPr>
          <t>　林分の主要樹種を入れる</t>
        </r>
      </text>
    </comment>
    <comment ref="H11" authorId="0">
      <text>
        <r>
          <rPr>
            <sz val="11"/>
            <rFont val="ＭＳ Ｐゴシック"/>
            <family val="3"/>
          </rPr>
          <t>　樹種別の材積を自動計算します</t>
        </r>
      </text>
    </comment>
    <comment ref="BF12" authorId="0">
      <text>
        <r>
          <rPr>
            <b/>
            <sz val="12"/>
            <rFont val="ＭＳ Ｐゴシック"/>
            <family val="3"/>
          </rPr>
          <t>　樹種、地理条件等を考慮し、表１を参考に限界胸髙断面積合計の数値を入れる。</t>
        </r>
        <r>
          <rPr>
            <sz val="12"/>
            <rFont val="ＭＳ Ｐゴシック"/>
            <family val="3"/>
          </rPr>
          <t xml:space="preserve">
　本グラフでは、胸髙直径から、表１の黄色ﾏｰｸの数値を自動引用しています。</t>
        </r>
      </text>
    </comment>
    <comment ref="BK12" authorId="0">
      <text>
        <r>
          <rPr>
            <b/>
            <sz val="12"/>
            <rFont val="ＭＳ Ｐゴシック"/>
            <family val="3"/>
          </rPr>
          <t xml:space="preserve">　樹種、地理条件等を考慮し、表２を参考に限界形状比の数値を入れる。
</t>
        </r>
        <r>
          <rPr>
            <sz val="12"/>
            <rFont val="ＭＳ Ｐゴシック"/>
            <family val="3"/>
          </rPr>
          <t>　本グラフでは、胸髙直径から、表２の黄色ﾏｰｸの数値を自動引用しています。</t>
        </r>
      </text>
    </comment>
    <comment ref="BF37" authorId="0">
      <text>
        <r>
          <rPr>
            <sz val="10"/>
            <rFont val="ＭＳ Ｐゴシック"/>
            <family val="3"/>
          </rPr>
          <t>　１０年先の本数間伐率を入れる。</t>
        </r>
      </text>
    </comment>
    <comment ref="O46" authorId="1">
      <text>
        <r>
          <rPr>
            <sz val="11"/>
            <rFont val="ＭＳ Ｐゴシック"/>
            <family val="3"/>
          </rPr>
          <t>　1/2優勢木、1/2劣勢木のデータは間伐強度を決めるときの参考になります。</t>
        </r>
      </text>
    </comment>
    <comment ref="BE47" authorId="0">
      <text>
        <r>
          <rPr>
            <sz val="10"/>
            <rFont val="ＭＳ Ｐゴシック"/>
            <family val="3"/>
          </rPr>
          <t>　これまでの成長量や樹種、地理条件等を考慮し、表３、表４を参考に１０年間の胸髙直径と樹高の成長見込数値を入れる。</t>
        </r>
      </text>
    </comment>
    <comment ref="BE48" authorId="0">
      <text>
        <r>
          <rPr>
            <sz val="10"/>
            <rFont val="ＭＳ Ｐゴシック"/>
            <family val="3"/>
          </rPr>
          <t>　１０年先の間伐後の平均胸髙直径と平均樹高の変更予想値を入れる。「０」でもOK</t>
        </r>
      </text>
    </comment>
    <comment ref="V53" authorId="0">
      <text>
        <r>
          <rPr>
            <sz val="11"/>
            <rFont val="ＭＳ Ｐゴシック"/>
            <family val="3"/>
          </rPr>
          <t>　材積の比率は、胸髙断面積合計の比率とほぼ同じになります。</t>
        </r>
      </text>
    </comment>
    <comment ref="AV63" authorId="0">
      <text>
        <r>
          <rPr>
            <sz val="12"/>
            <rFont val="ＭＳ Ｐゴシック"/>
            <family val="3"/>
          </rPr>
          <t>　間伐手遅れ林やヒノキ林では、気象災害等を考慮し、６つの判定項目のうち緑が４項目以上でも、１回の間伐材積率は ３５％ 程度以下が望ましい。　</t>
        </r>
      </text>
    </comment>
    <comment ref="F14" authorId="1">
      <text>
        <r>
          <rPr>
            <sz val="12"/>
            <rFont val="ＭＳ Ｐゴシック"/>
            <family val="3"/>
          </rPr>
          <t>　樹高と枝下髙は、残す木、間伐木、それぞれの標準木を1本以上計測する。</t>
        </r>
      </text>
    </comment>
    <comment ref="AI8" authorId="1">
      <text>
        <r>
          <rPr>
            <sz val="11"/>
            <rFont val="ＭＳ Ｐゴシック"/>
            <family val="3"/>
          </rPr>
          <t>　</t>
        </r>
        <r>
          <rPr>
            <sz val="12"/>
            <rFont val="ＭＳ Ｐゴシック"/>
            <family val="3"/>
          </rPr>
          <t>調査データの記入が無いときは、面積を記入しない！！</t>
        </r>
      </text>
    </comment>
    <comment ref="U8" authorId="1">
      <text>
        <r>
          <rPr>
            <sz val="11"/>
            <rFont val="ＭＳ Ｐゴシック"/>
            <family val="3"/>
          </rPr>
          <t>　</t>
        </r>
        <r>
          <rPr>
            <sz val="12"/>
            <rFont val="ＭＳ Ｐゴシック"/>
            <family val="3"/>
          </rPr>
          <t>調査データの記入が無いときは、面積を記入しない！！</t>
        </r>
      </text>
    </comment>
    <comment ref="G8" authorId="1">
      <text>
        <r>
          <rPr>
            <sz val="12"/>
            <rFont val="ＭＳ Ｐゴシック"/>
            <family val="3"/>
          </rPr>
          <t>プロット面積
　半径　４．０ｍの円は、　 ５０㎡
　半径 ５．６５ｍの円は、１００㎡
　半径　８。０ｍの円は、  ２００㎡
　半径 １１．３ｍの円は、４００㎡
　半径 １６。０ｍの円は、 ８００㎡</t>
        </r>
      </text>
    </comment>
    <comment ref="BF47" authorId="0">
      <text>
        <r>
          <rPr>
            <sz val="10"/>
            <rFont val="ＭＳ Ｐゴシック"/>
            <family val="3"/>
          </rPr>
          <t>　これまでの成長量や樹種、地理条件等を考慮し、表３、表４を参考に１０年間の胸髙直径と樹高の成長見込数値を入れる。</t>
        </r>
      </text>
    </comment>
    <comment ref="BF48" authorId="0">
      <text>
        <r>
          <rPr>
            <sz val="10"/>
            <rFont val="ＭＳ Ｐゴシック"/>
            <family val="3"/>
          </rPr>
          <t>　これまでの成長量や樹種、地理条件等を考慮し、表３、表４を参考に１０年間の胸髙直径と樹高の成長見込数値を入れる。</t>
        </r>
      </text>
    </comment>
  </commentList>
</comments>
</file>

<file path=xl/comments3.xml><?xml version="1.0" encoding="utf-8"?>
<comments xmlns="http://schemas.openxmlformats.org/spreadsheetml/2006/main">
  <authors>
    <author>A_FUJI</author>
  </authors>
  <commentList>
    <comment ref="G19" authorId="0">
      <text>
        <r>
          <rPr>
            <b/>
            <sz val="14"/>
            <color indexed="10"/>
            <rFont val="ＭＳ Ｐゴシック"/>
            <family val="3"/>
          </rPr>
          <t>重要！！</t>
        </r>
        <r>
          <rPr>
            <sz val="9"/>
            <rFont val="ＭＳ Ｐゴシック"/>
            <family val="3"/>
          </rPr>
          <t xml:space="preserve">
このシートは　</t>
        </r>
        <r>
          <rPr>
            <b/>
            <sz val="12"/>
            <rFont val="ＭＳ Ｐゴシック"/>
            <family val="3"/>
          </rPr>
          <t>本体機能の中枢</t>
        </r>
        <r>
          <rPr>
            <sz val="9"/>
            <rFont val="ＭＳ Ｐゴシック"/>
            <family val="3"/>
          </rPr>
          <t>となるデーターまたは計算式を記入していますので　原則的にすべてのコンテンツの変更を禁止します。
故意または重大な過失により　このシートが変更された場合、本体機能が著しく損なわれるので　十分なご配慮お願いします。
基本的には　このシートを</t>
        </r>
        <r>
          <rPr>
            <b/>
            <sz val="9"/>
            <color indexed="10"/>
            <rFont val="ＭＳ Ｐゴシック"/>
            <family val="3"/>
          </rPr>
          <t>通常は非表示</t>
        </r>
        <r>
          <rPr>
            <sz val="9"/>
            <rFont val="ＭＳ Ｐゴシック"/>
            <family val="3"/>
          </rPr>
          <t xml:space="preserve">とされることを推奨します
例外的に（Ｂ２：Ｅ３）の着色セルは樹木の管理条件なので変更可能です。
</t>
        </r>
      </text>
    </comment>
  </commentList>
</comments>
</file>

<file path=xl/comments4.xml><?xml version="1.0" encoding="utf-8"?>
<comments xmlns="http://schemas.openxmlformats.org/spreadsheetml/2006/main">
  <authors>
    <author>A_FUJI</author>
  </authors>
  <commentList>
    <comment ref="E2" authorId="0">
      <text>
        <r>
          <rPr>
            <sz val="9"/>
            <rFont val="ＭＳ Ｐゴシック"/>
            <family val="3"/>
          </rPr>
          <t xml:space="preserve">このシートは　説明用に作成しております
したがって
非表示、表示の選択
削除
コピー、編集
等を行なっても本体機能にはなんらの影響はありません。
</t>
        </r>
      </text>
    </comment>
  </commentList>
</comments>
</file>

<file path=xl/sharedStrings.xml><?xml version="1.0" encoding="utf-8"?>
<sst xmlns="http://schemas.openxmlformats.org/spreadsheetml/2006/main" count="1132" uniqueCount="306">
  <si>
    <t>樹　種</t>
  </si>
  <si>
    <t>林　令</t>
  </si>
  <si>
    <t>胸高直径</t>
  </si>
  <si>
    <t>計</t>
  </si>
  <si>
    <t>胸高断面積</t>
  </si>
  <si>
    <t>形状比</t>
  </si>
  <si>
    <t>(㎝)</t>
  </si>
  <si>
    <t>材　積</t>
  </si>
  <si>
    <t>（ｍ3）</t>
  </si>
  <si>
    <t>（㎡）</t>
  </si>
  <si>
    <t>プロット番号</t>
  </si>
  <si>
    <t>区域面積</t>
  </si>
  <si>
    <t>樹高</t>
  </si>
  <si>
    <t>調査地</t>
  </si>
  <si>
    <t>樹冠長</t>
  </si>
  <si>
    <t>樹冠長率</t>
  </si>
  <si>
    <t>林分密度調査票</t>
  </si>
  <si>
    <t>（ｍ）</t>
  </si>
  <si>
    <t>枝下高</t>
  </si>
  <si>
    <t>平均径以上○</t>
  </si>
  <si>
    <t>（％）</t>
  </si>
  <si>
    <t>（㎡/ha)</t>
  </si>
  <si>
    <t>(ｍ3/ha)</t>
  </si>
  <si>
    <t>-</t>
  </si>
  <si>
    <t>平均</t>
  </si>
  <si>
    <t>県名</t>
  </si>
  <si>
    <t xml:space="preserve">　15°未満 、15°～30°、 31°～40° 、 40°以上 </t>
  </si>
  <si>
    <t>平均傾斜角</t>
  </si>
  <si>
    <t>（本/ha)</t>
  </si>
  <si>
    <t>ﾍｸﾀｰﾙ当り</t>
  </si>
  <si>
    <t>換算</t>
  </si>
  <si>
    <t>比率</t>
  </si>
  <si>
    <t>1/2優勢木　　　○印計</t>
  </si>
  <si>
    <t xml:space="preserve"> プロット面積</t>
  </si>
  <si>
    <t>陽樹冠高</t>
  </si>
  <si>
    <t>胸高断面積合計</t>
  </si>
  <si>
    <t>材　積</t>
  </si>
  <si>
    <t>樹　高</t>
  </si>
  <si>
    <t>NO</t>
  </si>
  <si>
    <t>集計表</t>
  </si>
  <si>
    <t>樹種構成</t>
  </si>
  <si>
    <t>平均径未満△</t>
  </si>
  <si>
    <t>1/2劣勢木　　　　△印計</t>
  </si>
  <si>
    <t>間伐木、被害木等×計</t>
  </si>
  <si>
    <t>樹高測定</t>
  </si>
  <si>
    <t>（樹高測定本数）</t>
  </si>
  <si>
    <t>52以上</t>
  </si>
  <si>
    <t>12～14</t>
  </si>
  <si>
    <t>14～16</t>
  </si>
  <si>
    <t>16～18</t>
  </si>
  <si>
    <t>18～20</t>
  </si>
  <si>
    <t>20～22</t>
  </si>
  <si>
    <t>22～24</t>
  </si>
  <si>
    <t>24～26</t>
  </si>
  <si>
    <t>26～28</t>
  </si>
  <si>
    <t>28～30</t>
  </si>
  <si>
    <t>30～32</t>
  </si>
  <si>
    <t>32～34</t>
  </si>
  <si>
    <t>34～36</t>
  </si>
  <si>
    <t>36～38</t>
  </si>
  <si>
    <t>38～40</t>
  </si>
  <si>
    <t>40～42</t>
  </si>
  <si>
    <t>42～44</t>
  </si>
  <si>
    <t>44～46</t>
  </si>
  <si>
    <t>46～48</t>
  </si>
  <si>
    <t>48～50</t>
  </si>
  <si>
    <t>50～52</t>
  </si>
  <si>
    <t>本数</t>
  </si>
  <si>
    <t>間伐後</t>
  </si>
  <si>
    <t>本数</t>
  </si>
  <si>
    <t>階層別集計</t>
  </si>
  <si>
    <t>12未満</t>
  </si>
  <si>
    <t>樹高測定数</t>
  </si>
  <si>
    <t>備考</t>
  </si>
  <si>
    <t>間伐木　　　　×印計</t>
  </si>
  <si>
    <t>間伐前</t>
  </si>
  <si>
    <t>間伐後の              目標値</t>
  </si>
  <si>
    <t>（SR)</t>
  </si>
  <si>
    <t>間伐</t>
  </si>
  <si>
    <t>間伐前計</t>
  </si>
  <si>
    <t>間伐本数</t>
  </si>
  <si>
    <t>傾斜方向</t>
  </si>
  <si>
    <t>記入方法等</t>
  </si>
  <si>
    <t>黄色</t>
  </si>
  <si>
    <t>２、</t>
  </si>
  <si>
    <t>３、</t>
  </si>
  <si>
    <t>１、</t>
  </si>
  <si>
    <t>４、</t>
  </si>
  <si>
    <t>用語解説</t>
  </si>
  <si>
    <t>注：</t>
  </si>
  <si>
    <t>であれば適正な間伐。</t>
  </si>
  <si>
    <t>チェック項目６の内､４以上が</t>
  </si>
  <si>
    <t>標　高</t>
  </si>
  <si>
    <t>緑</t>
  </si>
  <si>
    <t>水色</t>
  </si>
  <si>
    <t>間伐前平均</t>
  </si>
  <si>
    <t>胸高断面積合計</t>
  </si>
  <si>
    <t>相対幹距比</t>
  </si>
  <si>
    <t>下限値</t>
  </si>
  <si>
    <t>上限値</t>
  </si>
  <si>
    <t>40～50㎝</t>
  </si>
  <si>
    <t>立木密度</t>
  </si>
  <si>
    <t>50～60㎝</t>
  </si>
  <si>
    <t>適正値</t>
  </si>
  <si>
    <t>適正下限</t>
  </si>
  <si>
    <t>適正上限</t>
  </si>
  <si>
    <t>1/2優勢木</t>
  </si>
  <si>
    <t>1/2劣勢木</t>
  </si>
  <si>
    <t>形状比</t>
  </si>
  <si>
    <t>15～20㎝</t>
  </si>
  <si>
    <t>20～25㎝</t>
  </si>
  <si>
    <t>25～30㎝</t>
  </si>
  <si>
    <t>30～40㎝</t>
  </si>
  <si>
    <t>樹冠長率</t>
  </si>
  <si>
    <t>調査者</t>
  </si>
  <si>
    <t>調査日</t>
  </si>
  <si>
    <t>「形状比」＝樹高（ｍ）÷胸高直径（ｍ）</t>
  </si>
  <si>
    <t>「相対間距比」＝平均樹間距離（ｍ）÷平均樹高（ｍ）</t>
  </si>
  <si>
    <t>林況</t>
  </si>
  <si>
    <t>スギ</t>
  </si>
  <si>
    <t>15㎝未満</t>
  </si>
  <si>
    <t>ス　ギ</t>
  </si>
  <si>
    <t>ヒノキ</t>
  </si>
  <si>
    <t>現樹高</t>
  </si>
  <si>
    <t>18m未満</t>
  </si>
  <si>
    <t>18～22m</t>
  </si>
  <si>
    <t>25～28m</t>
  </si>
  <si>
    <t>22～25m</t>
  </si>
  <si>
    <t>28～30m</t>
  </si>
  <si>
    <t>30～32m</t>
  </si>
  <si>
    <t>32～34m</t>
  </si>
  <si>
    <t>34m～</t>
  </si>
  <si>
    <t>胸高断面積合計（㎡/ha)</t>
  </si>
  <si>
    <t>相対幹　　　距比</t>
  </si>
  <si>
    <t>間伐木</t>
  </si>
  <si>
    <t>胸高断面積合計</t>
  </si>
  <si>
    <t>片枝木の枝下高は下から５本目の枝高を計測</t>
  </si>
  <si>
    <t>樹高</t>
  </si>
  <si>
    <t>70～90㎝</t>
  </si>
  <si>
    <t>①</t>
  </si>
  <si>
    <t>◎　各指標の上限値と下限値</t>
  </si>
  <si>
    <t>成長見込み</t>
  </si>
  <si>
    <t>福井県</t>
  </si>
  <si>
    <t>A-2</t>
  </si>
  <si>
    <t>A-1</t>
  </si>
  <si>
    <t>林分の健全度グラフ（密度相対図）</t>
  </si>
  <si>
    <t>本数率</t>
  </si>
  <si>
    <t>材積率</t>
  </si>
  <si>
    <t>今回の間伐率：</t>
  </si>
  <si>
    <t>平均胸高直径</t>
  </si>
  <si>
    <r>
      <t>15㎝</t>
    </r>
    <r>
      <rPr>
        <sz val="10"/>
        <rFont val="ＭＳ ゴシック"/>
        <family val="3"/>
      </rPr>
      <t>未満</t>
    </r>
  </si>
  <si>
    <t>50～70㎝</t>
  </si>
  <si>
    <t>90㎝以上</t>
  </si>
  <si>
    <t>0.248未満</t>
  </si>
  <si>
    <t>0.152以上</t>
  </si>
  <si>
    <r>
      <t xml:space="preserve">間伐木
</t>
    </r>
    <r>
      <rPr>
        <b/>
        <sz val="12"/>
        <rFont val="ＭＳ ゴシック"/>
        <family val="3"/>
      </rPr>
      <t>×</t>
    </r>
  </si>
  <si>
    <t>×</t>
  </si>
  <si>
    <t>胸髙直径</t>
  </si>
  <si>
    <t>表１　限界胸高断面積合計の目安</t>
  </si>
  <si>
    <t>表２　限界形状比の目安</t>
  </si>
  <si>
    <t>今回の間伐率　　：</t>
  </si>
  <si>
    <t>北東</t>
  </si>
  <si>
    <t>Ａ</t>
  </si>
  <si>
    <t>１０年先の間伐前</t>
  </si>
  <si>
    <t>１０年先の間伐後</t>
  </si>
  <si>
    <t>樹高、枝下高は、伐採予定木の標準木、残存予定木の</t>
  </si>
  <si>
    <t>標準木を1本以上計測して記入する。</t>
  </si>
  <si>
    <t>「1/2優勢木」とは平均胸高直径以上の木、</t>
  </si>
  <si>
    <t>「1/2劣勢木」とは平均胸高直径以下の木。</t>
  </si>
  <si>
    <t>１０年先の本数間伐率：</t>
  </si>
  <si>
    <t>現胸高直径</t>
  </si>
  <si>
    <t>15～30㎝</t>
  </si>
  <si>
    <t>30～45㎝</t>
  </si>
  <si>
    <t>45～60㎝</t>
  </si>
  <si>
    <t>60～75㎝</t>
  </si>
  <si>
    <t>75～100㎝</t>
  </si>
  <si>
    <t>100㎝～</t>
  </si>
  <si>
    <t>樹高の成長見込み</t>
  </si>
  <si>
    <t>胸高直径の成長見込み</t>
  </si>
  <si>
    <t>上記の数値は、樹種、地理等の条件により数値の補正が必要です。</t>
  </si>
  <si>
    <t>は必須。</t>
  </si>
  <si>
    <t>を記入する。</t>
  </si>
  <si>
    <t>赤字</t>
  </si>
  <si>
    <t>1927年植、30年以上間伐無し</t>
  </si>
  <si>
    <t>「胸高断面積」とは、地上1.3ｍ高の幹断面積で、１ha内の立木全ての幹断面積を合計したものが「胸高断面積合計」。</t>
  </si>
  <si>
    <t>表４　10年後の樹高成長量</t>
  </si>
  <si>
    <t>表３　10年後の胸高直径成長量</t>
  </si>
  <si>
    <t>主要樹種</t>
  </si>
  <si>
    <t>限界値</t>
  </si>
  <si>
    <t>間伐後、６項目のうち４項目が適正範囲（緑線内）に入れば適正な密度管理</t>
  </si>
  <si>
    <t>スギ</t>
  </si>
  <si>
    <t>スギ</t>
  </si>
  <si>
    <t>ヒノキ</t>
  </si>
  <si>
    <t>係数１</t>
  </si>
  <si>
    <t>係数２</t>
  </si>
  <si>
    <t>係数３</t>
  </si>
  <si>
    <t>副表</t>
  </si>
  <si>
    <t>平均胸高直径</t>
  </si>
  <si>
    <t>区分係数</t>
  </si>
  <si>
    <t>樹種選択</t>
  </si>
  <si>
    <t>60～70㎝</t>
  </si>
  <si>
    <t>樹種</t>
  </si>
  <si>
    <t>材積基礎</t>
  </si>
  <si>
    <t>材積関数の機能説明</t>
  </si>
  <si>
    <t>=Zaiseki(D11,E11,F$37）</t>
  </si>
  <si>
    <t>使用箇所</t>
  </si>
  <si>
    <t>A-1プロット</t>
  </si>
  <si>
    <t>A-2プロット</t>
  </si>
  <si>
    <t>A-3プロット</t>
  </si>
  <si>
    <t>=Zaiseki(R11,S11,T$37)</t>
  </si>
  <si>
    <t>=Zaiseki(AF11,AG11,AH$37)</t>
  </si>
  <si>
    <t>使用状況</t>
  </si>
  <si>
    <r>
      <t>=Zaiseki(</t>
    </r>
    <r>
      <rPr>
        <b/>
        <sz val="16"/>
        <color indexed="10"/>
        <rFont val="ＭＳ Ｐゴシック"/>
        <family val="3"/>
      </rPr>
      <t>樹種名</t>
    </r>
    <r>
      <rPr>
        <b/>
        <sz val="16"/>
        <rFont val="ＭＳ Ｐゴシック"/>
        <family val="3"/>
      </rPr>
      <t>,</t>
    </r>
    <r>
      <rPr>
        <b/>
        <sz val="16"/>
        <color indexed="12"/>
        <rFont val="ＭＳ Ｐゴシック"/>
        <family val="3"/>
      </rPr>
      <t>半径値</t>
    </r>
    <r>
      <rPr>
        <b/>
        <sz val="16"/>
        <rFont val="ＭＳ Ｐゴシック"/>
        <family val="3"/>
      </rPr>
      <t>,</t>
    </r>
    <r>
      <rPr>
        <b/>
        <sz val="16"/>
        <color indexed="14"/>
        <rFont val="ＭＳ Ｐゴシック"/>
        <family val="3"/>
      </rPr>
      <t>平均半径値</t>
    </r>
    <r>
      <rPr>
        <b/>
        <sz val="16"/>
        <rFont val="ＭＳ Ｐゴシック"/>
        <family val="3"/>
      </rPr>
      <t>)</t>
    </r>
  </si>
  <si>
    <t>書式</t>
  </si>
  <si>
    <t>概要</t>
  </si>
  <si>
    <t>本システム特有の計算書式および条件を網羅した</t>
  </si>
  <si>
    <t>「材積」計算関数</t>
  </si>
  <si>
    <t>使用方法</t>
  </si>
  <si>
    <t>下記条件で　エクセルの一般関数と同じ手法で使用できます。</t>
  </si>
  <si>
    <t>書式詳細</t>
  </si>
  <si>
    <t>Ｚａｉｓｅｋｉ</t>
  </si>
  <si>
    <t>標記例</t>
  </si>
  <si>
    <t>語句</t>
  </si>
  <si>
    <t>説明</t>
  </si>
  <si>
    <t>"スギ"　または"ヒノキ"</t>
  </si>
  <si>
    <t>条件</t>
  </si>
  <si>
    <t>変更不可</t>
  </si>
  <si>
    <t>エクセルの他の関数（例：ｓｕｍ、Ｉｆ・・・・・）</t>
  </si>
  <si>
    <t>と同格</t>
  </si>
  <si>
    <t>これ以外はエラーとなります</t>
  </si>
  <si>
    <t>樹種名</t>
  </si>
  <si>
    <t>（当システム限定のため）</t>
  </si>
  <si>
    <t>または</t>
  </si>
  <si>
    <t>上記の語句が記入されたセル番地名</t>
  </si>
  <si>
    <t>半径値</t>
  </si>
  <si>
    <t>上記の数値データーが記入されたセル番地名</t>
  </si>
  <si>
    <t>32.5　とか　20.1　などの数値データ</t>
  </si>
  <si>
    <t>ユーザー定義関数名</t>
  </si>
  <si>
    <t>平均値半径</t>
  </si>
  <si>
    <t>機能解説</t>
  </si>
  <si>
    <t>同機能の計算式</t>
  </si>
  <si>
    <r>
      <t>=if(</t>
    </r>
    <r>
      <rPr>
        <b/>
        <sz val="11"/>
        <color indexed="10"/>
        <rFont val="ＭＳ Ｐゴシック"/>
        <family val="3"/>
      </rPr>
      <t>D11="スギ"</t>
    </r>
    <r>
      <rPr>
        <sz val="11"/>
        <rFont val="ＭＳ Ｐゴシック"/>
        <family val="3"/>
      </rPr>
      <t>,10^(-4.19207+LOG10(</t>
    </r>
    <r>
      <rPr>
        <b/>
        <sz val="11"/>
        <color indexed="12"/>
        <rFont val="ＭＳ Ｐゴシック"/>
        <family val="3"/>
      </rPr>
      <t>E11</t>
    </r>
    <r>
      <rPr>
        <sz val="11"/>
        <rFont val="ＭＳ Ｐゴシック"/>
        <family val="3"/>
      </rPr>
      <t>)*1.82696+LOG10(</t>
    </r>
    <r>
      <rPr>
        <b/>
        <sz val="11"/>
        <color indexed="14"/>
        <rFont val="ＭＳ Ｐゴシック"/>
        <family val="3"/>
      </rPr>
      <t>F$37</t>
    </r>
    <r>
      <rPr>
        <sz val="11"/>
        <rFont val="ＭＳ Ｐゴシック"/>
        <family val="3"/>
      </rPr>
      <t>)*0.99227,10^(-4.31103+LOG10(</t>
    </r>
    <r>
      <rPr>
        <b/>
        <sz val="11"/>
        <color indexed="12"/>
        <rFont val="ＭＳ Ｐゴシック"/>
        <family val="3"/>
      </rPr>
      <t>E11</t>
    </r>
    <r>
      <rPr>
        <sz val="11"/>
        <rFont val="ＭＳ Ｐゴシック"/>
        <family val="3"/>
      </rPr>
      <t>)*1.82696+LOG10(</t>
    </r>
    <r>
      <rPr>
        <b/>
        <sz val="11"/>
        <color indexed="14"/>
        <rFont val="ＭＳ Ｐゴシック"/>
        <family val="3"/>
      </rPr>
      <t>F$37</t>
    </r>
    <r>
      <rPr>
        <sz val="11"/>
        <rFont val="ＭＳ Ｐゴシック"/>
        <family val="3"/>
      </rPr>
      <t>)*1.10655)</t>
    </r>
  </si>
  <si>
    <t>間伐後の樹冠長率、形状比、胸髙直径のうち1項目が限界値（ピンク線）を超えれば、風雪害抵抗力は極めて弱い。</t>
  </si>
  <si>
    <t>山川　太郎</t>
  </si>
  <si>
    <t>◎　調査林分の成長予測</t>
  </si>
  <si>
    <t>大飯郡高浜町青葉山１－１</t>
  </si>
  <si>
    <t>スギ・ヒノキ（㎡/ha)</t>
  </si>
  <si>
    <t>スギ・ヒノキ</t>
  </si>
  <si>
    <t>限界胸高断面積合計</t>
  </si>
  <si>
    <t>限界形状比</t>
  </si>
  <si>
    <t>マツ・・３</t>
  </si>
  <si>
    <t>スギ･ヒノキ・・２</t>
  </si>
  <si>
    <t>計算式詳細</t>
  </si>
  <si>
    <t>マツ</t>
  </si>
  <si>
    <t>スギ･ヒノキ（㎡/ha)</t>
  </si>
  <si>
    <t>マツ（㎡/ha)</t>
  </si>
  <si>
    <t>立木幹材積表（西日本編）引用</t>
  </si>
  <si>
    <t>下限値(㎝）</t>
  </si>
  <si>
    <t>間伐後の目標値</t>
  </si>
  <si>
    <t>本数</t>
  </si>
  <si>
    <t>ﾌﾟﾛｯﾄ内平均</t>
  </si>
  <si>
    <t>１、</t>
  </si>
  <si>
    <t>２、</t>
  </si>
  <si>
    <t>３、</t>
  </si>
  <si>
    <t>A-1</t>
  </si>
  <si>
    <t>A-2</t>
  </si>
  <si>
    <t>NO</t>
  </si>
  <si>
    <t>材　積</t>
  </si>
  <si>
    <t>NO</t>
  </si>
  <si>
    <t>Ａ</t>
  </si>
  <si>
    <t>(㎝)</t>
  </si>
  <si>
    <t>（ｍ）</t>
  </si>
  <si>
    <t>（ｍ3）</t>
  </si>
  <si>
    <t>（㎡）</t>
  </si>
  <si>
    <t>(㎝)</t>
  </si>
  <si>
    <t>（ｍ）</t>
  </si>
  <si>
    <t>（ｍ3）</t>
  </si>
  <si>
    <t>（㎡）</t>
  </si>
  <si>
    <t>本数</t>
  </si>
  <si>
    <t>材　積</t>
  </si>
  <si>
    <t>樹高測定数</t>
  </si>
  <si>
    <t>-</t>
  </si>
  <si>
    <t>-</t>
  </si>
  <si>
    <t>-</t>
  </si>
  <si>
    <t>-</t>
  </si>
  <si>
    <t>(㎝)</t>
  </si>
  <si>
    <t>（ｍ）</t>
  </si>
  <si>
    <t>（％）</t>
  </si>
  <si>
    <t>換算</t>
  </si>
  <si>
    <t>比率</t>
  </si>
  <si>
    <t>（㎡/ha)</t>
  </si>
  <si>
    <t>（SR)</t>
  </si>
  <si>
    <t>(ｍ3/ha)</t>
  </si>
  <si>
    <t>換算</t>
  </si>
  <si>
    <t>１、</t>
  </si>
  <si>
    <t>２、</t>
  </si>
  <si>
    <t>３、</t>
  </si>
  <si>
    <t>４、</t>
  </si>
  <si>
    <t>2009.9.24</t>
  </si>
  <si>
    <t>×</t>
  </si>
  <si>
    <t>×</t>
  </si>
  <si>
    <t>スギ</t>
  </si>
  <si>
    <t>スギ</t>
  </si>
  <si>
    <t>×</t>
  </si>
  <si>
    <t>黄緑色</t>
  </si>
  <si>
    <t>黄緑色</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</si>
</sst>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m&quot;"/>
    <numFmt numFmtId="177" formatCode="0.00_ "/>
    <numFmt numFmtId="178" formatCode="0.0&quot;m3&quot;"/>
    <numFmt numFmtId="179" formatCode="0.00&quot;m3&quot;"/>
    <numFmt numFmtId="180" formatCode="0.00&quot;m2&quot;"/>
    <numFmt numFmtId="181" formatCode="0.0&quot;m2/ha&quot;"/>
    <numFmt numFmtId="182" formatCode="0.0&quot;㎝&quot;"/>
    <numFmt numFmtId="183" formatCode="0&quot;本&quot;"/>
    <numFmt numFmtId="184" formatCode="0.0%"/>
    <numFmt numFmtId="185" formatCode="#,##0.0;[Red]\-#,##0.0"/>
    <numFmt numFmtId="186" formatCode="0.00&quot;ha&quot;"/>
    <numFmt numFmtId="187" formatCode="0.0&quot;m～&quot;"/>
    <numFmt numFmtId="188" formatCode="0&quot;年生&quot;"/>
    <numFmt numFmtId="189" formatCode="0.000_ "/>
    <numFmt numFmtId="190" formatCode="0.0&quot;m2&quot;"/>
    <numFmt numFmtId="191" formatCode="0&quot;m2&quot;"/>
    <numFmt numFmtId="192" formatCode="0.00&quot;m3/本&quot;"/>
    <numFmt numFmtId="193" formatCode="0.00&quot;m2/本&quot;"/>
    <numFmt numFmtId="194" formatCode="\(0.0&quot;㎝&quot;\)"/>
    <numFmt numFmtId="195" formatCode="\(0&quot;本&quot;\)"/>
    <numFmt numFmtId="196" formatCode="\(0.0&quot;m&quot;\)"/>
    <numFmt numFmtId="197" formatCode="0.0&quot;以上&quot;"/>
    <numFmt numFmtId="198" formatCode="0&quot;本～&quot;"/>
    <numFmt numFmtId="199" formatCode="0&quot;㎡/ha&quot;"/>
    <numFmt numFmtId="200" formatCode="0&quot;㎡/ha～&quot;"/>
    <numFmt numFmtId="201" formatCode="0&quot;㎥/ha～&quot;"/>
    <numFmt numFmtId="202" formatCode="0&quot;㎥/ha&quot;"/>
    <numFmt numFmtId="203" formatCode="#,###&quot;㎝&quot;"/>
    <numFmt numFmtId="204" formatCode="#,###&quot;ｍ&quot;"/>
    <numFmt numFmtId="205" formatCode="#,##0.000;[Red]\-#,##0.000"/>
    <numFmt numFmtId="206" formatCode="0&quot;m&quot;"/>
    <numFmt numFmtId="207" formatCode="0&quot;本/ha&quot;"/>
    <numFmt numFmtId="208" formatCode="0.0&quot;㎥/ha&quot;"/>
    <numFmt numFmtId="209" formatCode="#,###.0&quot;ｍ&quot;"/>
    <numFmt numFmtId="210" formatCode="0.000&quot;m&quot;"/>
    <numFmt numFmtId="211" formatCode="0.0&quot;m以上&quot;"/>
    <numFmt numFmtId="212" formatCode="0.00&quot;m以上&quot;"/>
    <numFmt numFmtId="213" formatCode="0&quot;本/ha以上&quot;"/>
    <numFmt numFmtId="214" formatCode="0&quot;㎥/ha以上&quot;"/>
    <numFmt numFmtId="215" formatCode="0.000&quot;以上&quot;"/>
    <numFmt numFmtId="216" formatCode="0.000&quot;～&quot;"/>
    <numFmt numFmtId="217" formatCode="0.0&quot;～&quot;"/>
    <numFmt numFmtId="218" formatCode="0.0"/>
    <numFmt numFmtId="219" formatCode="0.0&quot;㎝～&quot;"/>
    <numFmt numFmtId="220" formatCode="0.0&quot;ｍ～&quot;"/>
    <numFmt numFmtId="221" formatCode="0.0%&quot;～&quot;"/>
    <numFmt numFmtId="222" formatCode="0&quot;㎥/ha未満&quot;"/>
    <numFmt numFmtId="223" formatCode="0.0&quot;未満&quot;"/>
    <numFmt numFmtId="224" formatCode="0.000&quot;未満&quot;"/>
    <numFmt numFmtId="225" formatCode="0&quot;本/ha未満&quot;"/>
    <numFmt numFmtId="226" formatCode="0.0&quot;m未満&quot;"/>
    <numFmt numFmtId="227" formatCode="0.00&quot;m未満&quot;"/>
    <numFmt numFmtId="228" formatCode="0.00&quot;m&quot;"/>
    <numFmt numFmtId="229" formatCode="0&quot;～&quot;"/>
    <numFmt numFmtId="230" formatCode="0%&quot;～&quot;"/>
    <numFmt numFmtId="231" formatCode="&quot;A-&quot;0"/>
    <numFmt numFmtId="232" formatCode="0&quot;m3/ha&quot;"/>
    <numFmt numFmtId="233" formatCode="0&quot;㎝&quot;"/>
  </numFmts>
  <fonts count="84">
    <font>
      <sz val="11"/>
      <name val="ＭＳ Ｐゴシック"/>
      <family val="3"/>
    </font>
    <font>
      <sz val="6"/>
      <name val="ＭＳ Ｐゴシック"/>
      <family val="3"/>
    </font>
    <font>
      <sz val="11"/>
      <name val="ＭＳ ゴシック"/>
      <family val="3"/>
    </font>
    <font>
      <sz val="20"/>
      <name val="ＭＳ ゴシック"/>
      <family val="3"/>
    </font>
    <font>
      <sz val="12"/>
      <name val="ＭＳ ゴシック"/>
      <family val="3"/>
    </font>
    <font>
      <sz val="14"/>
      <name val="ＭＳ ゴシック"/>
      <family val="3"/>
    </font>
    <font>
      <sz val="10"/>
      <name val="ＭＳ ゴシック"/>
      <family val="3"/>
    </font>
    <font>
      <sz val="9"/>
      <name val="ＭＳ ゴシック"/>
      <family val="3"/>
    </font>
    <font>
      <b/>
      <sz val="12"/>
      <name val="ＭＳ ゴシック"/>
      <family val="3"/>
    </font>
    <font>
      <b/>
      <sz val="14"/>
      <name val="ＭＳ ゴシック"/>
      <family val="3"/>
    </font>
    <font>
      <sz val="6"/>
      <name val="ＭＳ ゴシック"/>
      <family val="3"/>
    </font>
    <font>
      <sz val="16"/>
      <name val="ＭＳ ゴシック"/>
      <family val="3"/>
    </font>
    <font>
      <sz val="14"/>
      <name val="ＭＳ Ｐゴシック"/>
      <family val="3"/>
    </font>
    <font>
      <sz val="12"/>
      <name val="ＭＳ Ｐゴシック"/>
      <family val="3"/>
    </font>
    <font>
      <sz val="20"/>
      <name val="ＭＳ Ｐゴシック"/>
      <family val="3"/>
    </font>
    <font>
      <sz val="10"/>
      <name val="ＭＳ Ｐゴシック"/>
      <family val="3"/>
    </font>
    <font>
      <b/>
      <sz val="10"/>
      <name val="ＭＳ Ｐゴシック"/>
      <family val="3"/>
    </font>
    <font>
      <sz val="16"/>
      <name val="ＭＳ Ｐゴシック"/>
      <family val="3"/>
    </font>
    <font>
      <b/>
      <sz val="10"/>
      <name val="ＭＳ ゴシック"/>
      <family val="3"/>
    </font>
    <font>
      <sz val="12"/>
      <name val="HGPｺﾞｼｯｸM"/>
      <family val="3"/>
    </font>
    <font>
      <sz val="9"/>
      <name val="HGSｺﾞｼｯｸM"/>
      <family val="3"/>
    </font>
    <font>
      <sz val="12"/>
      <name val="HGSｺﾞｼｯｸM"/>
      <family val="3"/>
    </font>
    <font>
      <sz val="12"/>
      <color indexed="10"/>
      <name val="ＭＳ Ｐゴシック"/>
      <family val="3"/>
    </font>
    <font>
      <b/>
      <sz val="12"/>
      <color indexed="10"/>
      <name val="ＭＳ ゴシック"/>
      <family val="3"/>
    </font>
    <font>
      <sz val="28"/>
      <name val="ＭＳ ゴシック"/>
      <family val="3"/>
    </font>
    <font>
      <sz val="10"/>
      <color indexed="11"/>
      <name val="ＭＳ ゴシック"/>
      <family val="3"/>
    </font>
    <font>
      <b/>
      <sz val="12"/>
      <color indexed="12"/>
      <name val="ＭＳ ゴシック"/>
      <family val="3"/>
    </font>
    <font>
      <b/>
      <sz val="14"/>
      <color indexed="12"/>
      <name val="ＭＳ ゴシック"/>
      <family val="3"/>
    </font>
    <font>
      <sz val="18"/>
      <color indexed="10"/>
      <name val="ＭＳ ゴシック"/>
      <family val="3"/>
    </font>
    <font>
      <sz val="12"/>
      <color indexed="11"/>
      <name val="ＭＳ ゴシック"/>
      <family val="3"/>
    </font>
    <font>
      <b/>
      <sz val="14"/>
      <color indexed="10"/>
      <name val="ＭＳ ゴシック"/>
      <family val="3"/>
    </font>
    <font>
      <sz val="18"/>
      <name val="ＭＳ Ｐゴシック"/>
      <family val="3"/>
    </font>
    <font>
      <b/>
      <sz val="10"/>
      <color indexed="12"/>
      <name val="ＭＳ ゴシック"/>
      <family val="3"/>
    </font>
    <font>
      <b/>
      <sz val="16"/>
      <name val="ＭＳ ゴシック"/>
      <family val="3"/>
    </font>
    <font>
      <sz val="10"/>
      <color indexed="10"/>
      <name val="ＭＳ Ｐゴシック"/>
      <family val="3"/>
    </font>
    <font>
      <sz val="16"/>
      <color indexed="12"/>
      <name val="ＭＳ ゴシック"/>
      <family val="3"/>
    </font>
    <font>
      <sz val="11"/>
      <color indexed="10"/>
      <name val="ＭＳ Ｐゴシック"/>
      <family val="3"/>
    </font>
    <font>
      <sz val="12"/>
      <color indexed="10"/>
      <name val="ＭＳ ゴシック"/>
      <family val="3"/>
    </font>
    <font>
      <sz val="14"/>
      <color indexed="10"/>
      <name val="ＭＳ ゴシック"/>
      <family val="3"/>
    </font>
    <font>
      <sz val="14"/>
      <color indexed="12"/>
      <name val="ＭＳ ゴシック"/>
      <family val="3"/>
    </font>
    <font>
      <sz val="12"/>
      <color indexed="30"/>
      <name val="ＭＳ ゴシック"/>
      <family val="3"/>
    </font>
    <font>
      <sz val="16"/>
      <color indexed="10"/>
      <name val="ＭＳ ゴシック"/>
      <family val="3"/>
    </font>
    <font>
      <b/>
      <sz val="9"/>
      <name val="ＭＳ ゴシック"/>
      <family val="3"/>
    </font>
    <font>
      <sz val="12"/>
      <color indexed="14"/>
      <name val="ＭＳ ゴシック"/>
      <family val="3"/>
    </font>
    <font>
      <b/>
      <sz val="12"/>
      <color indexed="14"/>
      <name val="ＭＳ ゴシック"/>
      <family val="3"/>
    </font>
    <font>
      <sz val="14"/>
      <color indexed="17"/>
      <name val="ＭＳ ゴシック"/>
      <family val="3"/>
    </font>
    <font>
      <b/>
      <sz val="16"/>
      <name val="ＭＳ Ｐゴシック"/>
      <family val="3"/>
    </font>
    <font>
      <b/>
      <sz val="16"/>
      <color indexed="10"/>
      <name val="ＭＳ Ｐゴシック"/>
      <family val="3"/>
    </font>
    <font>
      <b/>
      <sz val="16"/>
      <color indexed="12"/>
      <name val="ＭＳ Ｐゴシック"/>
      <family val="3"/>
    </font>
    <font>
      <b/>
      <sz val="16"/>
      <color indexed="14"/>
      <name val="ＭＳ Ｐゴシック"/>
      <family val="3"/>
    </font>
    <font>
      <b/>
      <sz val="11"/>
      <color indexed="10"/>
      <name val="ＭＳ Ｐゴシック"/>
      <family val="3"/>
    </font>
    <font>
      <b/>
      <sz val="11"/>
      <color indexed="12"/>
      <name val="ＭＳ Ｐゴシック"/>
      <family val="3"/>
    </font>
    <font>
      <b/>
      <sz val="11"/>
      <color indexed="14"/>
      <name val="ＭＳ Ｐゴシック"/>
      <family val="3"/>
    </font>
    <font>
      <sz val="9"/>
      <name val="ＭＳ Ｐゴシック"/>
      <family val="3"/>
    </font>
    <font>
      <b/>
      <sz val="9"/>
      <color indexed="10"/>
      <name val="ＭＳ Ｐゴシック"/>
      <family val="3"/>
    </font>
    <font>
      <b/>
      <sz val="14"/>
      <color indexed="10"/>
      <name val="ＭＳ Ｐゴシック"/>
      <family val="3"/>
    </font>
    <font>
      <b/>
      <sz val="12"/>
      <name val="ＭＳ Ｐゴシック"/>
      <family val="3"/>
    </font>
    <font>
      <sz val="11.75"/>
      <color indexed="8"/>
      <name val="ＭＳ Ｐゴシック"/>
      <family val="3"/>
    </font>
    <font>
      <sz val="15.75"/>
      <color indexed="8"/>
      <name val="ＭＳ Ｐゴシック"/>
      <family val="3"/>
    </font>
    <font>
      <sz val="10.8"/>
      <color indexed="8"/>
      <name val="ＭＳ Ｐゴシック"/>
      <family val="3"/>
    </font>
    <font>
      <sz val="8.25"/>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9.75"/>
      <name val="ＭＳ Ｐゴシック"/>
      <family val="3"/>
    </font>
    <font>
      <sz val="12"/>
      <color indexed="12"/>
      <name val="ＭＳ ゴシック"/>
      <family val="3"/>
    </font>
    <font>
      <sz val="18"/>
      <name val="ＭＳ ゴシック"/>
      <family val="3"/>
    </font>
    <font>
      <sz val="11"/>
      <color indexed="17"/>
      <name val="ＭＳ ゴシック"/>
      <family val="3"/>
    </font>
    <font>
      <sz val="12"/>
      <color indexed="12"/>
      <name val="ＭＳ Ｐゴシック"/>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15"/>
        <bgColor indexed="64"/>
      </patternFill>
    </fill>
  </fills>
  <borders count="10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style="hair"/>
      <top style="thin"/>
      <bottom style="thin"/>
    </border>
    <border>
      <left style="hair"/>
      <right>
        <color indexed="63"/>
      </right>
      <top style="thin"/>
      <bottom style="thin"/>
    </border>
    <border>
      <left style="thin"/>
      <right>
        <color indexed="63"/>
      </right>
      <top>
        <color indexed="63"/>
      </top>
      <bottom>
        <color indexed="63"/>
      </bottom>
    </border>
    <border>
      <left style="thin"/>
      <right style="hair"/>
      <top>
        <color indexed="63"/>
      </top>
      <bottom style="thin"/>
    </border>
    <border>
      <left>
        <color indexed="63"/>
      </left>
      <right style="hair"/>
      <top style="thin"/>
      <bottom style="thin"/>
    </border>
    <border>
      <left style="hair"/>
      <right style="thin"/>
      <top style="thin"/>
      <bottom style="thin"/>
    </border>
    <border>
      <left>
        <color indexed="63"/>
      </left>
      <right>
        <color indexed="63"/>
      </right>
      <top style="double"/>
      <bottom style="double"/>
    </border>
    <border>
      <left>
        <color indexed="63"/>
      </left>
      <right style="double"/>
      <top style="double"/>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thin"/>
      <right style="medium"/>
      <top style="thin"/>
      <bottom style="thin"/>
    </border>
    <border>
      <left>
        <color indexed="63"/>
      </left>
      <right style="thin"/>
      <top>
        <color indexed="63"/>
      </top>
      <bottom style="medium"/>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hair"/>
      <top style="medium"/>
      <bottom>
        <color indexed="63"/>
      </bottom>
    </border>
    <border>
      <left style="hair"/>
      <right style="medium"/>
      <top style="medium"/>
      <bottom>
        <color indexed="63"/>
      </bottom>
    </border>
    <border>
      <left style="medium"/>
      <right style="medium"/>
      <top>
        <color indexed="63"/>
      </top>
      <bottom style="thin"/>
    </border>
    <border>
      <left style="medium"/>
      <right style="hair"/>
      <top>
        <color indexed="63"/>
      </top>
      <bottom style="thin"/>
    </border>
    <border>
      <left style="hair"/>
      <right style="medium"/>
      <top>
        <color indexed="63"/>
      </top>
      <bottom style="thin"/>
    </border>
    <border>
      <left style="double"/>
      <right style="thin"/>
      <top style="thin"/>
      <bottom style="thin"/>
    </border>
    <border>
      <left style="thin"/>
      <right style="double"/>
      <top style="thin"/>
      <bottom style="thin"/>
    </border>
    <border>
      <left style="medium"/>
      <right style="medium"/>
      <top style="thin"/>
      <bottom style="hair"/>
    </border>
    <border>
      <left style="medium"/>
      <right style="hair"/>
      <top style="thin"/>
      <bottom style="hair"/>
    </border>
    <border>
      <left style="hair"/>
      <right style="medium"/>
      <top style="thin"/>
      <bottom style="hair"/>
    </border>
    <border>
      <left style="medium"/>
      <right style="medium"/>
      <top style="hair"/>
      <bottom>
        <color indexed="63"/>
      </bottom>
    </border>
    <border>
      <left style="medium"/>
      <right style="hair"/>
      <top style="hair"/>
      <bottom>
        <color indexed="63"/>
      </bottom>
    </border>
    <border>
      <left style="hair"/>
      <right style="medium"/>
      <top style="hair"/>
      <bottom>
        <color indexed="63"/>
      </botto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hair"/>
      <top style="medium"/>
      <bottom style="thin"/>
    </border>
    <border>
      <left style="hair"/>
      <right style="medium"/>
      <top style="medium"/>
      <bottom style="thin"/>
    </border>
    <border>
      <left style="medium"/>
      <right style="medium"/>
      <top style="thin"/>
      <bottom style="thin"/>
    </border>
    <border>
      <left style="medium"/>
      <right style="thin"/>
      <top style="thin"/>
      <bottom style="thin"/>
    </border>
    <border>
      <left style="medium"/>
      <right style="hair"/>
      <top style="thin"/>
      <bottom style="thin"/>
    </border>
    <border>
      <left style="hair"/>
      <right style="medium"/>
      <top style="thin"/>
      <bottom style="thin"/>
    </border>
    <border>
      <left style="medium"/>
      <right style="medium"/>
      <top style="thin"/>
      <bottom style="medium"/>
    </border>
    <border>
      <left style="medium"/>
      <right style="hair"/>
      <top style="thin"/>
      <bottom style="medium"/>
    </border>
    <border>
      <left style="hair"/>
      <right style="medium"/>
      <top style="thin"/>
      <bottom style="medium"/>
    </border>
    <border>
      <left style="medium"/>
      <right style="medium"/>
      <top>
        <color indexed="63"/>
      </top>
      <bottom style="medium"/>
    </border>
    <border>
      <left style="medium"/>
      <right style="hair"/>
      <top>
        <color indexed="63"/>
      </top>
      <bottom style="medium"/>
    </border>
    <border>
      <left style="hair"/>
      <right style="medium"/>
      <top>
        <color indexed="63"/>
      </top>
      <bottom style="medium"/>
    </border>
    <border>
      <left style="medium"/>
      <right style="hair"/>
      <top style="hair"/>
      <bottom style="thin"/>
    </border>
    <border>
      <left style="hair"/>
      <right style="medium"/>
      <top style="hair"/>
      <bottom style="thin"/>
    </border>
    <border>
      <left style="medium"/>
      <right>
        <color indexed="63"/>
      </right>
      <top>
        <color indexed="63"/>
      </top>
      <bottom style="thin"/>
    </border>
    <border>
      <left style="medium"/>
      <right style="medium"/>
      <top style="hair"/>
      <bottom style="medium"/>
    </border>
    <border>
      <left style="medium"/>
      <right style="thin"/>
      <top>
        <color indexed="63"/>
      </top>
      <bottom style="medium"/>
    </border>
    <border>
      <left style="hair"/>
      <right style="thin"/>
      <top style="thin"/>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
      <left style="hair"/>
      <right style="thin">
        <color indexed="8"/>
      </right>
      <top style="thin">
        <color indexed="8"/>
      </top>
      <bottom style="thin">
        <color indexed="8"/>
      </bottom>
    </border>
    <border>
      <left style="medium"/>
      <right>
        <color indexed="63"/>
      </right>
      <top style="medium"/>
      <bottom style="medium"/>
    </border>
    <border>
      <left>
        <color indexed="63"/>
      </left>
      <right style="medium"/>
      <top style="medium"/>
      <bottom style="medium"/>
    </border>
    <border>
      <left style="double"/>
      <right>
        <color indexed="63"/>
      </right>
      <top style="double"/>
      <bottom style="double"/>
    </border>
    <border>
      <left style="thin"/>
      <right style="thin"/>
      <top>
        <color indexed="63"/>
      </top>
      <bottom style="medium"/>
    </border>
    <border>
      <left style="thin"/>
      <right style="medium"/>
      <top>
        <color indexed="63"/>
      </top>
      <bottom style="medium"/>
    </border>
    <border>
      <left style="double"/>
      <right style="thin"/>
      <top style="double"/>
      <bottom style="thin"/>
    </border>
    <border>
      <left style="thin"/>
      <right style="double"/>
      <top style="double"/>
      <bottom style="thin"/>
    </border>
    <border>
      <left style="medium"/>
      <right>
        <color indexed="63"/>
      </right>
      <top style="medium"/>
      <bottom style="hair"/>
    </border>
    <border>
      <left>
        <color indexed="63"/>
      </left>
      <right style="medium"/>
      <top style="medium"/>
      <bottom style="hair"/>
    </border>
    <border>
      <left style="medium">
        <color indexed="8"/>
      </left>
      <right style="medium">
        <color indexed="8"/>
      </right>
      <top style="medium">
        <color indexed="8"/>
      </top>
      <bottom style="medium">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3" fillId="0" borderId="0" applyNumberFormat="0" applyFill="0" applyBorder="0" applyAlignment="0" applyProtection="0"/>
    <xf numFmtId="0" fontId="64" fillId="20" borderId="1" applyNumberFormat="0" applyAlignment="0" applyProtection="0"/>
    <xf numFmtId="0" fontId="6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6" fillId="0" borderId="3" applyNumberFormat="0" applyFill="0" applyAlignment="0" applyProtection="0"/>
    <xf numFmtId="0" fontId="67" fillId="3" borderId="0" applyNumberFormat="0" applyBorder="0" applyAlignment="0" applyProtection="0"/>
    <xf numFmtId="0" fontId="68" fillId="23"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23"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7" borderId="4" applyNumberFormat="0" applyAlignment="0" applyProtection="0"/>
    <xf numFmtId="0" fontId="76" fillId="4" borderId="0" applyNumberFormat="0" applyBorder="0" applyAlignment="0" applyProtection="0"/>
  </cellStyleXfs>
  <cellXfs count="924">
    <xf numFmtId="0" fontId="0" fillId="0" borderId="0" xfId="0" applyAlignment="1">
      <alignment vertical="center"/>
    </xf>
    <xf numFmtId="177" fontId="4" fillId="0" borderId="10" xfId="0" applyNumberFormat="1" applyFont="1" applyBorder="1" applyAlignment="1">
      <alignment horizontal="right" vertical="center"/>
    </xf>
    <xf numFmtId="185" fontId="5" fillId="0" borderId="10" xfId="48" applyNumberFormat="1" applyFont="1" applyFill="1" applyBorder="1" applyAlignment="1">
      <alignment horizontal="center" vertical="center" shrinkToFit="1"/>
    </xf>
    <xf numFmtId="0" fontId="0" fillId="0" borderId="11" xfId="0" applyBorder="1" applyAlignment="1">
      <alignment vertical="center"/>
    </xf>
    <xf numFmtId="0" fontId="0" fillId="0" borderId="0" xfId="0" applyFill="1" applyAlignment="1">
      <alignment vertical="center"/>
    </xf>
    <xf numFmtId="0" fontId="0" fillId="0" borderId="10" xfId="0" applyBorder="1" applyAlignment="1">
      <alignment vertical="center"/>
    </xf>
    <xf numFmtId="185" fontId="2" fillId="0" borderId="11" xfId="48" applyNumberFormat="1" applyFont="1" applyFill="1" applyBorder="1" applyAlignment="1" quotePrefix="1">
      <alignment horizontal="left" vertical="center"/>
    </xf>
    <xf numFmtId="0" fontId="0" fillId="0" borderId="0" xfId="0" applyBorder="1" applyAlignment="1">
      <alignment vertical="center"/>
    </xf>
    <xf numFmtId="0" fontId="0" fillId="0" borderId="10" xfId="0" applyFill="1" applyBorder="1" applyAlignment="1">
      <alignment vertical="center"/>
    </xf>
    <xf numFmtId="0" fontId="0" fillId="0" borderId="10" xfId="0" applyBorder="1" applyAlignment="1">
      <alignment horizontal="center" vertical="center"/>
    </xf>
    <xf numFmtId="0" fontId="46" fillId="0" borderId="0" xfId="0" applyFont="1" applyAlignment="1" quotePrefix="1">
      <alignment vertical="center"/>
    </xf>
    <xf numFmtId="0" fontId="46" fillId="0" borderId="0" xfId="0" applyFont="1" applyAlignment="1">
      <alignment vertical="center"/>
    </xf>
    <xf numFmtId="0" fontId="0" fillId="0" borderId="10" xfId="0" applyBorder="1" applyAlignment="1" quotePrefix="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23" xfId="0" applyBorder="1" applyAlignment="1" quotePrefix="1">
      <alignment horizontal="left" vertical="center"/>
    </xf>
    <xf numFmtId="0" fontId="0" fillId="24" borderId="10" xfId="0" applyFill="1" applyBorder="1" applyAlignment="1">
      <alignment vertical="center"/>
    </xf>
    <xf numFmtId="0" fontId="4" fillId="0" borderId="24" xfId="0" applyFont="1" applyBorder="1" applyAlignment="1" applyProtection="1">
      <alignment horizontal="center" vertical="center" shrinkToFit="1"/>
      <protection locked="0"/>
    </xf>
    <xf numFmtId="0" fontId="4" fillId="25" borderId="25" xfId="0" applyFont="1" applyFill="1" applyBorder="1" applyAlignment="1" applyProtection="1">
      <alignment horizontal="center" vertical="center" shrinkToFit="1"/>
      <protection locked="0"/>
    </xf>
    <xf numFmtId="0" fontId="4" fillId="0" borderId="24" xfId="0" applyFont="1" applyFill="1" applyBorder="1" applyAlignment="1" applyProtection="1">
      <alignment horizontal="center" vertical="center" shrinkToFit="1"/>
      <protection locked="0"/>
    </xf>
    <xf numFmtId="206" fontId="4" fillId="25" borderId="11" xfId="0" applyNumberFormat="1" applyFont="1" applyFill="1" applyBorder="1" applyAlignment="1" applyProtection="1">
      <alignment horizontal="center" vertical="center" shrinkToFit="1"/>
      <protection locked="0"/>
    </xf>
    <xf numFmtId="186" fontId="4" fillId="25" borderId="25" xfId="0" applyNumberFormat="1" applyFont="1" applyFill="1" applyBorder="1" applyAlignment="1" applyProtection="1">
      <alignment horizontal="center" vertical="center" shrinkToFit="1"/>
      <protection locked="0"/>
    </xf>
    <xf numFmtId="0" fontId="2" fillId="21" borderId="0" xfId="0" applyFont="1" applyFill="1" applyAlignment="1" applyProtection="1">
      <alignment vertical="center" shrinkToFit="1"/>
      <protection/>
    </xf>
    <xf numFmtId="0" fontId="6" fillId="21" borderId="0" xfId="0" applyFont="1" applyFill="1" applyAlignment="1" applyProtection="1">
      <alignment vertical="center" shrinkToFit="1"/>
      <protection/>
    </xf>
    <xf numFmtId="0" fontId="11" fillId="0" borderId="20" xfId="0" applyFont="1" applyBorder="1" applyAlignment="1" applyProtection="1">
      <alignment vertical="center" shrinkToFit="1"/>
      <protection/>
    </xf>
    <xf numFmtId="186" fontId="4" fillId="25" borderId="22" xfId="0" applyNumberFormat="1" applyFont="1" applyFill="1" applyBorder="1" applyAlignment="1" applyProtection="1">
      <alignment horizontal="center" vertical="center" shrinkToFit="1"/>
      <protection/>
    </xf>
    <xf numFmtId="186" fontId="4" fillId="25" borderId="11" xfId="0" applyNumberFormat="1" applyFont="1" applyFill="1" applyBorder="1" applyAlignment="1" applyProtection="1">
      <alignment horizontal="center" vertical="center" shrinkToFit="1"/>
      <protection/>
    </xf>
    <xf numFmtId="0" fontId="2" fillId="25" borderId="22" xfId="0" applyFont="1" applyFill="1" applyBorder="1" applyAlignment="1" applyProtection="1">
      <alignment horizontal="center" vertical="center" wrapText="1"/>
      <protection/>
    </xf>
    <xf numFmtId="0" fontId="2" fillId="25" borderId="11" xfId="0" applyFont="1" applyFill="1" applyBorder="1" applyAlignment="1" applyProtection="1">
      <alignment horizontal="center" vertical="center" wrapText="1"/>
      <protection/>
    </xf>
    <xf numFmtId="0" fontId="4" fillId="0" borderId="0" xfId="0" applyFont="1" applyAlignment="1" applyProtection="1">
      <alignment vertical="center" shrinkToFit="1"/>
      <protection/>
    </xf>
    <xf numFmtId="206" fontId="4" fillId="21" borderId="22" xfId="0" applyNumberFormat="1" applyFont="1" applyFill="1" applyBorder="1" applyAlignment="1" applyProtection="1">
      <alignment horizontal="center" vertical="center" shrinkToFit="1"/>
      <protection/>
    </xf>
    <xf numFmtId="0" fontId="4" fillId="21" borderId="22" xfId="0" applyFont="1" applyFill="1" applyBorder="1" applyAlignment="1" applyProtection="1">
      <alignment vertical="center" shrinkToFit="1"/>
      <protection/>
    </xf>
    <xf numFmtId="0" fontId="4" fillId="21" borderId="11" xfId="0" applyFont="1" applyFill="1" applyBorder="1" applyAlignment="1" applyProtection="1">
      <alignment vertical="center" shrinkToFit="1"/>
      <protection/>
    </xf>
    <xf numFmtId="0" fontId="4" fillId="21" borderId="0" xfId="0" applyFont="1" applyFill="1" applyAlignment="1" applyProtection="1">
      <alignment vertical="center" shrinkToFit="1"/>
      <protection/>
    </xf>
    <xf numFmtId="191" fontId="5" fillId="21" borderId="22" xfId="0" applyNumberFormat="1" applyFont="1" applyFill="1" applyBorder="1" applyAlignment="1" applyProtection="1">
      <alignment vertical="center" shrinkToFit="1"/>
      <protection/>
    </xf>
    <xf numFmtId="0" fontId="6" fillId="21" borderId="11" xfId="0" applyFont="1" applyFill="1" applyBorder="1" applyAlignment="1" applyProtection="1">
      <alignment vertical="center" shrinkToFit="1"/>
      <protection/>
    </xf>
    <xf numFmtId="0" fontId="4" fillId="21" borderId="12" xfId="0" applyFont="1" applyFill="1" applyBorder="1" applyAlignment="1" applyProtection="1">
      <alignment horizontal="center" vertical="center" shrinkToFit="1"/>
      <protection/>
    </xf>
    <xf numFmtId="0" fontId="6" fillId="21" borderId="12" xfId="0" applyFont="1" applyFill="1" applyBorder="1" applyAlignment="1" applyProtection="1">
      <alignment horizontal="center" vertical="center" shrinkToFit="1"/>
      <protection/>
    </xf>
    <xf numFmtId="0" fontId="6" fillId="21" borderId="16" xfId="0" applyFont="1" applyFill="1" applyBorder="1" applyAlignment="1" applyProtection="1">
      <alignment horizontal="center" vertical="center" shrinkToFit="1"/>
      <protection/>
    </xf>
    <xf numFmtId="185" fontId="5" fillId="21" borderId="10" xfId="48" applyNumberFormat="1" applyFont="1" applyFill="1" applyBorder="1" applyAlignment="1" applyProtection="1">
      <alignment horizontal="center" vertical="center" shrinkToFit="1"/>
      <protection/>
    </xf>
    <xf numFmtId="0" fontId="0" fillId="21" borderId="10" xfId="0" applyFill="1" applyBorder="1" applyAlignment="1" applyProtection="1">
      <alignment horizontal="center"/>
      <protection/>
    </xf>
    <xf numFmtId="0" fontId="15" fillId="21" borderId="10" xfId="0" applyFont="1" applyFill="1" applyBorder="1" applyAlignment="1" applyProtection="1">
      <alignment horizontal="center" shrinkToFit="1"/>
      <protection/>
    </xf>
    <xf numFmtId="185" fontId="4" fillId="21" borderId="12" xfId="0" applyNumberFormat="1" applyFont="1" applyFill="1" applyBorder="1" applyAlignment="1" applyProtection="1">
      <alignment horizontal="right" shrinkToFit="1"/>
      <protection/>
    </xf>
    <xf numFmtId="0" fontId="7" fillId="21" borderId="10" xfId="0" applyFont="1" applyFill="1" applyBorder="1" applyAlignment="1" applyProtection="1">
      <alignment horizontal="center" vertical="center" wrapText="1"/>
      <protection/>
    </xf>
    <xf numFmtId="180" fontId="6" fillId="21" borderId="0" xfId="0" applyNumberFormat="1" applyFont="1" applyFill="1" applyBorder="1" applyAlignment="1" applyProtection="1">
      <alignment shrinkToFit="1"/>
      <protection/>
    </xf>
    <xf numFmtId="176" fontId="13" fillId="21" borderId="10" xfId="48" applyNumberFormat="1" applyFont="1" applyFill="1" applyBorder="1" applyAlignment="1" applyProtection="1">
      <alignment horizontal="right" shrinkToFit="1"/>
      <protection/>
    </xf>
    <xf numFmtId="183" fontId="4" fillId="21" borderId="10" xfId="0" applyNumberFormat="1" applyFont="1" applyFill="1" applyBorder="1" applyAlignment="1" applyProtection="1">
      <alignment horizontal="center" shrinkToFit="1"/>
      <protection/>
    </xf>
    <xf numFmtId="189" fontId="15" fillId="21" borderId="0" xfId="0" applyNumberFormat="1" applyFont="1" applyFill="1" applyBorder="1" applyAlignment="1" applyProtection="1">
      <alignment horizontal="right" shrinkToFit="1"/>
      <protection/>
    </xf>
    <xf numFmtId="183" fontId="10" fillId="21" borderId="18" xfId="0" applyNumberFormat="1" applyFont="1" applyFill="1" applyBorder="1" applyAlignment="1" applyProtection="1">
      <alignment horizontal="center" shrinkToFit="1"/>
      <protection/>
    </xf>
    <xf numFmtId="183" fontId="10" fillId="21" borderId="22" xfId="0" applyNumberFormat="1" applyFont="1" applyFill="1" applyBorder="1" applyAlignment="1" applyProtection="1">
      <alignment horizontal="center" shrinkToFit="1"/>
      <protection/>
    </xf>
    <xf numFmtId="196" fontId="13" fillId="21" borderId="16" xfId="0" applyNumberFormat="1" applyFont="1" applyFill="1" applyBorder="1" applyAlignment="1" applyProtection="1">
      <alignment horizontal="right" shrinkToFit="1"/>
      <protection/>
    </xf>
    <xf numFmtId="195" fontId="13" fillId="21" borderId="10" xfId="0" applyNumberFormat="1" applyFont="1" applyFill="1" applyBorder="1" applyAlignment="1" applyProtection="1">
      <alignment horizontal="center" shrinkToFit="1"/>
      <protection/>
    </xf>
    <xf numFmtId="176" fontId="15" fillId="21" borderId="0" xfId="0" applyNumberFormat="1" applyFont="1" applyFill="1" applyBorder="1" applyAlignment="1" applyProtection="1">
      <alignment horizontal="right" shrinkToFit="1"/>
      <protection/>
    </xf>
    <xf numFmtId="196" fontId="13" fillId="21" borderId="10" xfId="0" applyNumberFormat="1" applyFont="1" applyFill="1" applyBorder="1" applyAlignment="1" applyProtection="1">
      <alignment horizontal="right" shrinkToFit="1"/>
      <protection/>
    </xf>
    <xf numFmtId="187" fontId="15" fillId="21" borderId="0" xfId="0" applyNumberFormat="1" applyFont="1" applyFill="1" applyBorder="1" applyAlignment="1" applyProtection="1">
      <alignment horizontal="right" shrinkToFit="1"/>
      <protection/>
    </xf>
    <xf numFmtId="196" fontId="13" fillId="21" borderId="12" xfId="0" applyNumberFormat="1" applyFont="1" applyFill="1" applyBorder="1" applyAlignment="1" applyProtection="1">
      <alignment horizontal="right" shrinkToFit="1"/>
      <protection/>
    </xf>
    <xf numFmtId="0" fontId="6" fillId="21" borderId="0" xfId="0" applyFont="1" applyFill="1" applyBorder="1" applyAlignment="1" applyProtection="1">
      <alignment horizontal="center" shrinkToFit="1"/>
      <protection/>
    </xf>
    <xf numFmtId="0" fontId="3" fillId="21" borderId="0" xfId="0" applyFont="1" applyFill="1" applyAlignment="1" applyProtection="1">
      <alignment horizontal="center" shrinkToFit="1"/>
      <protection/>
    </xf>
    <xf numFmtId="0" fontId="6" fillId="21" borderId="0" xfId="0" applyFont="1" applyFill="1" applyAlignment="1" applyProtection="1">
      <alignment horizontal="center" shrinkToFit="1"/>
      <protection/>
    </xf>
    <xf numFmtId="0" fontId="6" fillId="21" borderId="0" xfId="0" applyFont="1" applyFill="1" applyBorder="1" applyAlignment="1" applyProtection="1">
      <alignment horizontal="center" vertical="center" shrinkToFit="1"/>
      <protection/>
    </xf>
    <xf numFmtId="0" fontId="1" fillId="21" borderId="0" xfId="0" applyNumberFormat="1" applyFont="1" applyFill="1" applyBorder="1" applyAlignment="1" applyProtection="1">
      <alignment horizontal="right" shrinkToFit="1"/>
      <protection/>
    </xf>
    <xf numFmtId="0" fontId="1" fillId="21" borderId="0" xfId="0" applyNumberFormat="1" applyFont="1" applyFill="1" applyBorder="1" applyAlignment="1" applyProtection="1">
      <alignment horizontal="right" vertical="center" shrinkToFit="1"/>
      <protection/>
    </xf>
    <xf numFmtId="0" fontId="15" fillId="21" borderId="0" xfId="0" applyFont="1" applyFill="1" applyBorder="1" applyAlignment="1" applyProtection="1">
      <alignment horizontal="center" shrinkToFit="1"/>
      <protection/>
    </xf>
    <xf numFmtId="0" fontId="15" fillId="21" borderId="0" xfId="0" applyNumberFormat="1" applyFont="1" applyFill="1" applyBorder="1" applyAlignment="1" applyProtection="1">
      <alignment horizontal="right" shrinkToFit="1"/>
      <protection/>
    </xf>
    <xf numFmtId="176" fontId="6" fillId="21" borderId="0" xfId="0" applyNumberFormat="1" applyFont="1" applyFill="1" applyBorder="1" applyAlignment="1" applyProtection="1">
      <alignment horizontal="right" shrinkToFit="1"/>
      <protection/>
    </xf>
    <xf numFmtId="179" fontId="6" fillId="21" borderId="0" xfId="0" applyNumberFormat="1" applyFont="1" applyFill="1" applyBorder="1" applyAlignment="1" applyProtection="1">
      <alignment shrinkToFit="1"/>
      <protection/>
    </xf>
    <xf numFmtId="0" fontId="6" fillId="21" borderId="0" xfId="0" applyFont="1" applyFill="1" applyBorder="1" applyAlignment="1" applyProtection="1">
      <alignment vertical="center" shrinkToFit="1"/>
      <protection/>
    </xf>
    <xf numFmtId="181" fontId="15" fillId="21" borderId="0" xfId="0" applyNumberFormat="1" applyFont="1" applyFill="1" applyBorder="1" applyAlignment="1" applyProtection="1">
      <alignment horizontal="right" shrinkToFit="1"/>
      <protection/>
    </xf>
    <xf numFmtId="0" fontId="1" fillId="0" borderId="0" xfId="0" applyNumberFormat="1" applyFont="1" applyFill="1" applyBorder="1" applyAlignment="1" applyProtection="1">
      <alignment horizontal="right" shrinkToFit="1"/>
      <protection/>
    </xf>
    <xf numFmtId="181" fontId="16" fillId="21" borderId="0" xfId="0" applyNumberFormat="1" applyFont="1" applyFill="1" applyBorder="1" applyAlignment="1" applyProtection="1">
      <alignment horizontal="right" shrinkToFit="1"/>
      <protection/>
    </xf>
    <xf numFmtId="0" fontId="3" fillId="21" borderId="0" xfId="0" applyFont="1" applyFill="1" applyAlignment="1" applyProtection="1">
      <alignment horizontal="center" vertical="center" shrinkToFit="1"/>
      <protection/>
    </xf>
    <xf numFmtId="0" fontId="6" fillId="21" borderId="0" xfId="0" applyFont="1" applyFill="1" applyAlignment="1" applyProtection="1">
      <alignment horizontal="center" vertical="center" shrinkToFit="1"/>
      <protection/>
    </xf>
    <xf numFmtId="0" fontId="7" fillId="21" borderId="0" xfId="0" applyFont="1" applyFill="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2" fillId="0" borderId="0" xfId="0" applyFont="1" applyAlignment="1" applyProtection="1">
      <alignment vertical="center" shrinkToFit="1"/>
      <protection/>
    </xf>
    <xf numFmtId="0" fontId="10" fillId="0" borderId="0" xfId="0" applyFont="1" applyAlignment="1" applyProtection="1">
      <alignment vertical="center" shrinkToFit="1"/>
      <protection/>
    </xf>
    <xf numFmtId="0" fontId="10" fillId="21" borderId="0" xfId="0" applyFont="1" applyFill="1" applyAlignment="1" applyProtection="1">
      <alignment vertical="center" shrinkToFit="1"/>
      <protection/>
    </xf>
    <xf numFmtId="0" fontId="0" fillId="0" borderId="0" xfId="0" applyAlignment="1" applyProtection="1">
      <alignment vertical="center"/>
      <protection/>
    </xf>
    <xf numFmtId="0" fontId="4" fillId="0" borderId="0" xfId="0" applyFont="1" applyAlignment="1" applyProtection="1">
      <alignment vertical="center"/>
      <protection/>
    </xf>
    <xf numFmtId="0" fontId="10" fillId="0" borderId="0" xfId="0" applyFont="1" applyAlignment="1" applyProtection="1">
      <alignment vertical="center"/>
      <protection/>
    </xf>
    <xf numFmtId="0" fontId="4" fillId="0" borderId="24" xfId="0" applyFont="1" applyBorder="1" applyAlignment="1" applyProtection="1">
      <alignment horizontal="center" vertical="center" shrinkToFit="1"/>
      <protection/>
    </xf>
    <xf numFmtId="0" fontId="4" fillId="0" borderId="26" xfId="0" applyFont="1" applyBorder="1" applyAlignment="1" applyProtection="1">
      <alignment vertical="center" shrinkToFit="1"/>
      <protection/>
    </xf>
    <xf numFmtId="0" fontId="4" fillId="0" borderId="0" xfId="0" applyFont="1" applyAlignment="1" applyProtection="1">
      <alignment horizontal="right" vertical="center"/>
      <protection/>
    </xf>
    <xf numFmtId="0" fontId="13" fillId="25" borderId="10" xfId="0" applyFont="1" applyFill="1" applyBorder="1" applyAlignment="1" applyProtection="1">
      <alignment horizontal="center" vertical="center"/>
      <protection/>
    </xf>
    <xf numFmtId="186" fontId="4" fillId="21" borderId="0" xfId="0" applyNumberFormat="1" applyFont="1" applyFill="1" applyBorder="1" applyAlignment="1" applyProtection="1">
      <alignment horizontal="center" vertical="center"/>
      <protection/>
    </xf>
    <xf numFmtId="0" fontId="10" fillId="21" borderId="0" xfId="0" applyFont="1" applyFill="1" applyAlignment="1" applyProtection="1">
      <alignment vertical="center"/>
      <protection/>
    </xf>
    <xf numFmtId="186" fontId="10" fillId="21" borderId="0" xfId="0" applyNumberFormat="1" applyFont="1" applyFill="1" applyBorder="1" applyAlignment="1" applyProtection="1">
      <alignment horizontal="center" vertical="center"/>
      <protection/>
    </xf>
    <xf numFmtId="186" fontId="10" fillId="21" borderId="0" xfId="0" applyNumberFormat="1" applyFont="1" applyFill="1" applyBorder="1" applyAlignment="1" applyProtection="1">
      <alignment horizontal="center" vertical="center" shrinkToFit="1"/>
      <protection/>
    </xf>
    <xf numFmtId="0" fontId="4" fillId="0" borderId="25" xfId="0" applyFont="1" applyFill="1" applyBorder="1" applyAlignment="1" applyProtection="1">
      <alignment horizontal="center" vertical="center" shrinkToFit="1"/>
      <protection/>
    </xf>
    <xf numFmtId="0" fontId="4" fillId="0" borderId="10" xfId="0" applyFont="1" applyBorder="1" applyAlignment="1" applyProtection="1">
      <alignment horizontal="center" vertical="center" shrinkToFit="1"/>
      <protection/>
    </xf>
    <xf numFmtId="0" fontId="4" fillId="0" borderId="21" xfId="0" applyFont="1" applyBorder="1" applyAlignment="1" applyProtection="1">
      <alignment horizontal="center" vertical="center" shrinkToFit="1"/>
      <protection/>
    </xf>
    <xf numFmtId="0" fontId="4" fillId="21" borderId="0" xfId="0" applyFont="1" applyFill="1" applyBorder="1" applyAlignment="1" applyProtection="1">
      <alignment horizontal="center" vertical="center"/>
      <protection/>
    </xf>
    <xf numFmtId="0" fontId="4" fillId="21" borderId="0" xfId="0" applyFont="1" applyFill="1" applyAlignment="1" applyProtection="1">
      <alignment vertical="center"/>
      <protection/>
    </xf>
    <xf numFmtId="0" fontId="4" fillId="21" borderId="0" xfId="0" applyFont="1" applyFill="1" applyBorder="1" applyAlignment="1" applyProtection="1">
      <alignment horizontal="center" vertical="center" wrapText="1"/>
      <protection/>
    </xf>
    <xf numFmtId="0" fontId="10" fillId="21" borderId="0" xfId="0" applyFont="1" applyFill="1" applyBorder="1" applyAlignment="1" applyProtection="1">
      <alignment horizontal="center" vertical="center" wrapText="1"/>
      <protection/>
    </xf>
    <xf numFmtId="186" fontId="4" fillId="0" borderId="25" xfId="0" applyNumberFormat="1" applyFont="1" applyFill="1" applyBorder="1" applyAlignment="1" applyProtection="1">
      <alignment vertical="center" shrinkToFit="1"/>
      <protection/>
    </xf>
    <xf numFmtId="186" fontId="4" fillId="0" borderId="11" xfId="0" applyNumberFormat="1" applyFont="1" applyFill="1" applyBorder="1" applyAlignment="1" applyProtection="1">
      <alignment vertical="center" shrinkToFit="1"/>
      <protection/>
    </xf>
    <xf numFmtId="0" fontId="4" fillId="0" borderId="27" xfId="0" applyFont="1" applyBorder="1" applyAlignment="1" applyProtection="1">
      <alignment horizontal="center" vertical="center" shrinkToFit="1"/>
      <protection/>
    </xf>
    <xf numFmtId="0" fontId="4" fillId="21" borderId="0" xfId="0" applyFont="1" applyFill="1" applyBorder="1" applyAlignment="1" applyProtection="1">
      <alignment horizontal="center" vertical="center" shrinkToFit="1"/>
      <protection/>
    </xf>
    <xf numFmtId="0" fontId="10" fillId="21" borderId="0" xfId="0" applyFont="1" applyFill="1" applyBorder="1" applyAlignment="1" applyProtection="1">
      <alignment horizontal="center" vertical="center" shrinkToFit="1"/>
      <protection/>
    </xf>
    <xf numFmtId="188" fontId="4" fillId="0" borderId="25" xfId="0" applyNumberFormat="1" applyFont="1" applyFill="1" applyBorder="1" applyAlignment="1" applyProtection="1">
      <alignment horizontal="center" vertical="center" shrinkToFit="1"/>
      <protection/>
    </xf>
    <xf numFmtId="0" fontId="4" fillId="0" borderId="28" xfId="0" applyFont="1" applyBorder="1" applyAlignment="1" applyProtection="1">
      <alignment horizontal="center" vertical="center" shrinkToFit="1"/>
      <protection/>
    </xf>
    <xf numFmtId="0" fontId="2" fillId="0" borderId="26" xfId="0" applyFont="1" applyBorder="1" applyAlignment="1" applyProtection="1">
      <alignment vertical="center" shrinkToFit="1"/>
      <protection/>
    </xf>
    <xf numFmtId="0" fontId="24" fillId="0" borderId="0" xfId="0" applyFont="1" applyAlignment="1" applyProtection="1">
      <alignment vertical="center" shrinkToFit="1"/>
      <protection/>
    </xf>
    <xf numFmtId="231" fontId="5" fillId="25" borderId="29" xfId="0" applyNumberFormat="1" applyFont="1" applyFill="1" applyBorder="1" applyAlignment="1" applyProtection="1">
      <alignment horizontal="center" vertical="center" shrinkToFit="1"/>
      <protection/>
    </xf>
    <xf numFmtId="0" fontId="5" fillId="0" borderId="22" xfId="0" applyFont="1" applyFill="1" applyBorder="1" applyAlignment="1" applyProtection="1">
      <alignment vertical="center" shrinkToFit="1"/>
      <protection/>
    </xf>
    <xf numFmtId="0" fontId="6" fillId="0" borderId="12" xfId="0" applyFont="1" applyFill="1" applyBorder="1" applyAlignment="1" applyProtection="1">
      <alignment vertical="center" shrinkToFit="1"/>
      <protection/>
    </xf>
    <xf numFmtId="0" fontId="5" fillId="0" borderId="0" xfId="0" applyFont="1" applyAlignment="1" applyProtection="1">
      <alignment vertical="center" shrinkToFit="1"/>
      <protection/>
    </xf>
    <xf numFmtId="0" fontId="5" fillId="0" borderId="22" xfId="0" applyFont="1" applyBorder="1" applyAlignment="1" applyProtection="1">
      <alignment vertical="center" shrinkToFit="1"/>
      <protection/>
    </xf>
    <xf numFmtId="0" fontId="5" fillId="0" borderId="18" xfId="0" applyFont="1" applyBorder="1" applyAlignment="1" applyProtection="1">
      <alignment vertical="center" shrinkToFit="1"/>
      <protection/>
    </xf>
    <xf numFmtId="0" fontId="4" fillId="0" borderId="18" xfId="0" applyFont="1" applyBorder="1" applyAlignment="1" applyProtection="1">
      <alignment vertical="center" shrinkToFit="1"/>
      <protection/>
    </xf>
    <xf numFmtId="0" fontId="5" fillId="0" borderId="13" xfId="0" applyFont="1" applyBorder="1" applyAlignment="1" applyProtection="1">
      <alignment vertical="center" shrinkToFit="1"/>
      <protection/>
    </xf>
    <xf numFmtId="0" fontId="35" fillId="0" borderId="30" xfId="0" applyFont="1" applyBorder="1" applyAlignment="1" applyProtection="1">
      <alignment horizontal="right" vertical="center"/>
      <protection/>
    </xf>
    <xf numFmtId="9" fontId="35" fillId="0" borderId="30" xfId="42" applyFont="1" applyBorder="1" applyAlignment="1" applyProtection="1">
      <alignment horizontal="left" vertical="center"/>
      <protection/>
    </xf>
    <xf numFmtId="9" fontId="35" fillId="0" borderId="31" xfId="42" applyFont="1" applyBorder="1" applyAlignment="1" applyProtection="1">
      <alignment horizontal="left" vertical="center"/>
      <protection/>
    </xf>
    <xf numFmtId="0" fontId="35" fillId="0" borderId="0" xfId="0" applyFont="1" applyAlignment="1" applyProtection="1">
      <alignment horizontal="right" vertical="center"/>
      <protection/>
    </xf>
    <xf numFmtId="0" fontId="4" fillId="0" borderId="12" xfId="0" applyFont="1" applyBorder="1" applyAlignment="1" applyProtection="1">
      <alignment horizontal="center" vertical="center" shrinkToFit="1"/>
      <protection/>
    </xf>
    <xf numFmtId="0" fontId="2" fillId="0" borderId="12" xfId="0" applyFont="1" applyBorder="1" applyAlignment="1" applyProtection="1">
      <alignment horizontal="center" vertical="center" shrinkToFit="1"/>
      <protection/>
    </xf>
    <xf numFmtId="0" fontId="6" fillId="0" borderId="14" xfId="0" applyFont="1" applyFill="1" applyBorder="1" applyAlignment="1" applyProtection="1">
      <alignment horizontal="center" vertical="center" shrinkToFit="1"/>
      <protection/>
    </xf>
    <xf numFmtId="0" fontId="5" fillId="0" borderId="0" xfId="0" applyFont="1" applyAlignment="1" applyProtection="1">
      <alignment vertical="center"/>
      <protection/>
    </xf>
    <xf numFmtId="0" fontId="5" fillId="0" borderId="0" xfId="0" applyFont="1" applyAlignment="1" applyProtection="1">
      <alignment/>
      <protection/>
    </xf>
    <xf numFmtId="0" fontId="4" fillId="0" borderId="16" xfId="0" applyFont="1" applyBorder="1" applyAlignment="1" applyProtection="1">
      <alignment horizontal="center" vertical="center" shrinkToFit="1"/>
      <protection/>
    </xf>
    <xf numFmtId="0" fontId="6" fillId="0" borderId="16" xfId="0" applyFont="1" applyBorder="1" applyAlignment="1" applyProtection="1">
      <alignment horizontal="center" vertical="center" shrinkToFit="1"/>
      <protection/>
    </xf>
    <xf numFmtId="0" fontId="2" fillId="0" borderId="16" xfId="0" applyFont="1" applyBorder="1" applyAlignment="1" applyProtection="1">
      <alignment horizontal="center" vertical="center" shrinkToFit="1"/>
      <protection/>
    </xf>
    <xf numFmtId="0" fontId="6" fillId="0" borderId="16" xfId="0" applyFont="1" applyFill="1" applyBorder="1" applyAlignment="1" applyProtection="1">
      <alignment horizontal="center" vertical="center" shrinkToFit="1"/>
      <protection/>
    </xf>
    <xf numFmtId="0" fontId="4" fillId="0" borderId="32" xfId="0" applyFont="1" applyBorder="1" applyAlignment="1" applyProtection="1">
      <alignment vertical="center" shrinkToFit="1"/>
      <protection/>
    </xf>
    <xf numFmtId="0" fontId="4" fillId="0" borderId="33" xfId="0" applyFont="1" applyBorder="1" applyAlignment="1" applyProtection="1">
      <alignment vertical="center" shrinkToFit="1"/>
      <protection/>
    </xf>
    <xf numFmtId="0" fontId="4" fillId="0" borderId="34" xfId="0" applyFont="1" applyBorder="1" applyAlignment="1" applyProtection="1">
      <alignment vertical="center" shrinkToFit="1"/>
      <protection/>
    </xf>
    <xf numFmtId="0" fontId="2" fillId="0" borderId="0" xfId="0" applyFont="1" applyBorder="1" applyAlignment="1" applyProtection="1">
      <alignment horizontal="center" vertical="center" shrinkToFit="1"/>
      <protection/>
    </xf>
    <xf numFmtId="177" fontId="4" fillId="0" borderId="10" xfId="0" applyNumberFormat="1" applyFont="1" applyFill="1" applyBorder="1" applyAlignment="1" applyProtection="1">
      <alignment horizontal="right" vertical="center"/>
      <protection/>
    </xf>
    <xf numFmtId="189" fontId="4" fillId="0" borderId="10" xfId="0" applyNumberFormat="1" applyFont="1" applyBorder="1" applyAlignment="1" applyProtection="1">
      <alignment horizontal="right" vertical="center"/>
      <protection/>
    </xf>
    <xf numFmtId="0" fontId="22" fillId="0" borderId="10" xfId="0" applyFont="1" applyFill="1" applyBorder="1" applyAlignment="1" applyProtection="1">
      <alignment horizontal="center"/>
      <protection/>
    </xf>
    <xf numFmtId="0" fontId="15" fillId="0" borderId="10" xfId="0" applyFont="1" applyFill="1" applyBorder="1" applyAlignment="1" applyProtection="1">
      <alignment horizontal="center" shrinkToFit="1"/>
      <protection/>
    </xf>
    <xf numFmtId="185" fontId="5" fillId="0" borderId="10" xfId="48" applyNumberFormat="1" applyFont="1" applyFill="1" applyBorder="1" applyAlignment="1" applyProtection="1">
      <alignment horizontal="center" vertical="center" shrinkToFit="1"/>
      <protection/>
    </xf>
    <xf numFmtId="38" fontId="5" fillId="0" borderId="10" xfId="48" applyNumberFormat="1" applyFont="1" applyFill="1" applyBorder="1" applyAlignment="1" applyProtection="1">
      <alignment horizontal="center" vertical="center" shrinkToFit="1"/>
      <protection/>
    </xf>
    <xf numFmtId="177" fontId="4" fillId="0" borderId="10" xfId="0" applyNumberFormat="1" applyFont="1" applyBorder="1" applyAlignment="1" applyProtection="1">
      <alignment horizontal="right" vertical="center"/>
      <protection/>
    </xf>
    <xf numFmtId="189" fontId="4" fillId="0" borderId="10" xfId="0" applyNumberFormat="1" applyFont="1" applyBorder="1" applyAlignment="1" applyProtection="1">
      <alignment horizontal="right" vertical="center" shrinkToFit="1"/>
      <protection/>
    </xf>
    <xf numFmtId="0" fontId="0" fillId="0" borderId="10" xfId="0" applyBorder="1" applyAlignment="1" applyProtection="1">
      <alignment horizontal="center"/>
      <protection/>
    </xf>
    <xf numFmtId="189" fontId="4" fillId="0" borderId="10" xfId="0" applyNumberFormat="1" applyFont="1" applyBorder="1" applyAlignment="1" applyProtection="1">
      <alignment horizontal="center" vertical="center" shrinkToFit="1"/>
      <protection/>
    </xf>
    <xf numFmtId="0" fontId="4" fillId="0" borderId="35" xfId="0" applyFont="1" applyBorder="1" applyAlignment="1" applyProtection="1">
      <alignment vertical="center" shrinkToFit="1"/>
      <protection/>
    </xf>
    <xf numFmtId="0" fontId="4" fillId="0" borderId="36" xfId="0" applyFont="1" applyBorder="1" applyAlignment="1" applyProtection="1">
      <alignment vertical="center" shrinkToFit="1"/>
      <protection/>
    </xf>
    <xf numFmtId="0" fontId="4" fillId="0" borderId="37" xfId="0" applyFont="1" applyBorder="1" applyAlignment="1" applyProtection="1">
      <alignment vertical="center" shrinkToFit="1"/>
      <protection/>
    </xf>
    <xf numFmtId="0" fontId="2" fillId="0" borderId="38"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16" xfId="0" applyFont="1" applyFill="1" applyBorder="1" applyAlignment="1" applyProtection="1">
      <alignment horizontal="left" vertical="center" shrinkToFit="1"/>
      <protection/>
    </xf>
    <xf numFmtId="177" fontId="4" fillId="0" borderId="39" xfId="0" applyNumberFormat="1" applyFont="1" applyFill="1" applyBorder="1" applyAlignment="1" applyProtection="1">
      <alignment horizontal="left" vertical="center" shrinkToFit="1"/>
      <protection/>
    </xf>
    <xf numFmtId="207" fontId="4" fillId="0" borderId="39" xfId="0" applyNumberFormat="1" applyFont="1" applyFill="1" applyBorder="1" applyAlignment="1" applyProtection="1">
      <alignment horizontal="left" vertical="center" shrinkToFit="1"/>
      <protection/>
    </xf>
    <xf numFmtId="176" fontId="4" fillId="0" borderId="39" xfId="0" applyNumberFormat="1" applyFont="1" applyFill="1" applyBorder="1" applyAlignment="1" applyProtection="1">
      <alignment horizontal="left" vertical="center" shrinkToFit="1"/>
      <protection/>
    </xf>
    <xf numFmtId="228" fontId="4" fillId="0" borderId="39" xfId="0" applyNumberFormat="1" applyFont="1" applyFill="1" applyBorder="1" applyAlignment="1" applyProtection="1">
      <alignment horizontal="left" vertical="center" shrinkToFit="1"/>
      <protection/>
    </xf>
    <xf numFmtId="0" fontId="2" fillId="0" borderId="16" xfId="0" applyFont="1" applyBorder="1" applyAlignment="1" applyProtection="1">
      <alignment horizontal="center" vertical="center" wrapText="1"/>
      <protection/>
    </xf>
    <xf numFmtId="229" fontId="2" fillId="0" borderId="21" xfId="0" applyNumberFormat="1" applyFont="1" applyFill="1" applyBorder="1" applyAlignment="1" applyProtection="1">
      <alignment horizontal="right" vertical="center" shrinkToFit="1"/>
      <protection/>
    </xf>
    <xf numFmtId="0" fontId="2" fillId="21" borderId="11" xfId="0" applyFont="1" applyFill="1" applyBorder="1" applyAlignment="1" applyProtection="1">
      <alignment horizontal="left" vertical="center" shrinkToFit="1"/>
      <protection/>
    </xf>
    <xf numFmtId="0" fontId="2" fillId="0" borderId="0" xfId="0" applyFont="1" applyFill="1" applyBorder="1" applyAlignment="1" applyProtection="1">
      <alignment horizontal="left" vertical="center" shrinkToFit="1"/>
      <protection/>
    </xf>
    <xf numFmtId="222" fontId="4" fillId="0" borderId="10" xfId="0" applyNumberFormat="1" applyFont="1" applyFill="1" applyBorder="1" applyAlignment="1" applyProtection="1">
      <alignment horizontal="center" vertical="center" shrinkToFit="1"/>
      <protection/>
    </xf>
    <xf numFmtId="224" fontId="4" fillId="0" borderId="10" xfId="0" applyNumberFormat="1" applyFont="1" applyFill="1" applyBorder="1" applyAlignment="1" applyProtection="1">
      <alignment horizontal="center" vertical="center" shrinkToFit="1"/>
      <protection/>
    </xf>
    <xf numFmtId="225" fontId="4" fillId="0" borderId="10" xfId="0" applyNumberFormat="1" applyFont="1" applyFill="1" applyBorder="1" applyAlignment="1" applyProtection="1">
      <alignment horizontal="center" vertical="center" shrinkToFit="1"/>
      <protection/>
    </xf>
    <xf numFmtId="226" fontId="4" fillId="0" borderId="10" xfId="0" applyNumberFormat="1" applyFont="1" applyFill="1" applyBorder="1" applyAlignment="1" applyProtection="1">
      <alignment horizontal="center" vertical="center" shrinkToFit="1"/>
      <protection/>
    </xf>
    <xf numFmtId="227" fontId="4" fillId="0" borderId="10" xfId="0" applyNumberFormat="1" applyFont="1" applyFill="1" applyBorder="1" applyAlignment="1" applyProtection="1">
      <alignment horizontal="center" vertical="center" shrinkToFit="1"/>
      <protection/>
    </xf>
    <xf numFmtId="223" fontId="4" fillId="0" borderId="40" xfId="48" applyNumberFormat="1" applyFont="1" applyFill="1" applyBorder="1" applyAlignment="1" applyProtection="1">
      <alignment horizontal="center" vertical="center" shrinkToFit="1"/>
      <protection/>
    </xf>
    <xf numFmtId="203" fontId="2" fillId="0" borderId="10" xfId="0" applyNumberFormat="1" applyFont="1" applyBorder="1" applyAlignment="1" applyProtection="1">
      <alignment horizontal="center" vertical="center" shrinkToFit="1"/>
      <protection/>
    </xf>
    <xf numFmtId="1" fontId="2" fillId="21" borderId="11" xfId="0" applyNumberFormat="1" applyFont="1" applyFill="1" applyBorder="1" applyAlignment="1" applyProtection="1">
      <alignment horizontal="left" vertical="center" shrinkToFit="1"/>
      <protection/>
    </xf>
    <xf numFmtId="1" fontId="2" fillId="0" borderId="0" xfId="0" applyNumberFormat="1" applyFont="1" applyFill="1" applyBorder="1" applyAlignment="1" applyProtection="1">
      <alignment horizontal="left" vertical="center" shrinkToFit="1"/>
      <protection/>
    </xf>
    <xf numFmtId="214" fontId="4" fillId="0" borderId="10" xfId="0" applyNumberFormat="1" applyFont="1" applyFill="1" applyBorder="1" applyAlignment="1" applyProtection="1">
      <alignment horizontal="center" vertical="center" shrinkToFit="1"/>
      <protection/>
    </xf>
    <xf numFmtId="215" fontId="4" fillId="0" borderId="10" xfId="0" applyNumberFormat="1" applyFont="1" applyFill="1" applyBorder="1" applyAlignment="1" applyProtection="1">
      <alignment horizontal="center" vertical="center" shrinkToFit="1"/>
      <protection/>
    </xf>
    <xf numFmtId="213" fontId="4" fillId="0" borderId="10" xfId="0" applyNumberFormat="1" applyFont="1" applyFill="1" applyBorder="1" applyAlignment="1" applyProtection="1">
      <alignment horizontal="center" vertical="center" shrinkToFit="1"/>
      <protection/>
    </xf>
    <xf numFmtId="211" fontId="4" fillId="0" borderId="10" xfId="0" applyNumberFormat="1" applyFont="1" applyFill="1" applyBorder="1" applyAlignment="1" applyProtection="1">
      <alignment horizontal="center" vertical="center" shrinkToFit="1"/>
      <protection/>
    </xf>
    <xf numFmtId="212" fontId="4" fillId="0" borderId="10" xfId="0" applyNumberFormat="1" applyFont="1" applyFill="1" applyBorder="1" applyAlignment="1" applyProtection="1">
      <alignment horizontal="center" vertical="center" shrinkToFit="1"/>
      <protection/>
    </xf>
    <xf numFmtId="197" fontId="4" fillId="0" borderId="40" xfId="48" applyNumberFormat="1" applyFont="1" applyFill="1" applyBorder="1" applyAlignment="1" applyProtection="1">
      <alignment horizontal="center" vertical="center" shrinkToFit="1"/>
      <protection/>
    </xf>
    <xf numFmtId="0" fontId="13" fillId="0" borderId="10" xfId="0" applyFont="1" applyBorder="1" applyAlignment="1" applyProtection="1">
      <alignment horizontal="center"/>
      <protection/>
    </xf>
    <xf numFmtId="0" fontId="2" fillId="0" borderId="35" xfId="0" applyFont="1" applyFill="1" applyBorder="1" applyAlignment="1" applyProtection="1">
      <alignment horizontal="center" vertical="center" wrapText="1"/>
      <protection/>
    </xf>
    <xf numFmtId="182" fontId="2" fillId="0" borderId="41" xfId="0" applyNumberFormat="1" applyFont="1" applyFill="1" applyBorder="1" applyAlignment="1" applyProtection="1">
      <alignment horizontal="center" vertical="center" wrapText="1"/>
      <protection/>
    </xf>
    <xf numFmtId="0" fontId="2" fillId="0" borderId="42" xfId="0" applyFont="1" applyFill="1" applyBorder="1" applyAlignment="1" applyProtection="1">
      <alignment horizontal="right" vertical="center" shrinkToFit="1"/>
      <protection/>
    </xf>
    <xf numFmtId="208" fontId="4" fillId="0" borderId="42" xfId="0" applyNumberFormat="1" applyFont="1" applyFill="1" applyBorder="1" applyAlignment="1" applyProtection="1">
      <alignment horizontal="right" vertical="center" shrinkToFit="1"/>
      <protection/>
    </xf>
    <xf numFmtId="40" fontId="4" fillId="0" borderId="42" xfId="48" applyNumberFormat="1" applyFont="1" applyFill="1" applyBorder="1" applyAlignment="1" applyProtection="1">
      <alignment horizontal="right" vertical="center" shrinkToFit="1"/>
      <protection/>
    </xf>
    <xf numFmtId="207" fontId="4" fillId="0" borderId="42" xfId="0" applyNumberFormat="1" applyFont="1" applyFill="1" applyBorder="1" applyAlignment="1" applyProtection="1">
      <alignment horizontal="right" vertical="center" shrinkToFit="1"/>
      <protection/>
    </xf>
    <xf numFmtId="176" fontId="4" fillId="0" borderId="42" xfId="0" applyNumberFormat="1" applyFont="1" applyFill="1" applyBorder="1" applyAlignment="1" applyProtection="1">
      <alignment horizontal="right" vertical="center" shrinkToFit="1"/>
      <protection/>
    </xf>
    <xf numFmtId="228" fontId="4" fillId="0" borderId="42" xfId="0" applyNumberFormat="1" applyFont="1" applyFill="1" applyBorder="1" applyAlignment="1" applyProtection="1">
      <alignment horizontal="right" vertical="center" shrinkToFit="1"/>
      <protection/>
    </xf>
    <xf numFmtId="185" fontId="4" fillId="0" borderId="43" xfId="0" applyNumberFormat="1" applyFont="1" applyFill="1" applyBorder="1" applyAlignment="1" applyProtection="1">
      <alignment horizontal="right" vertical="center" shrinkToFit="1"/>
      <protection/>
    </xf>
    <xf numFmtId="0" fontId="2" fillId="0" borderId="32"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wrapText="1"/>
      <protection/>
    </xf>
    <xf numFmtId="0" fontId="2" fillId="0" borderId="39" xfId="0" applyFont="1" applyFill="1" applyBorder="1" applyAlignment="1" applyProtection="1">
      <alignment horizontal="left" vertical="center" shrinkToFit="1"/>
      <protection/>
    </xf>
    <xf numFmtId="222" fontId="4" fillId="0" borderId="10" xfId="0" applyNumberFormat="1" applyFont="1" applyBorder="1" applyAlignment="1" applyProtection="1">
      <alignment horizontal="center" vertical="center" shrinkToFit="1"/>
      <protection/>
    </xf>
    <xf numFmtId="225" fontId="4" fillId="0" borderId="10" xfId="0" applyNumberFormat="1" applyFont="1" applyBorder="1" applyAlignment="1" applyProtection="1">
      <alignment horizontal="center" vertical="center" shrinkToFit="1"/>
      <protection/>
    </xf>
    <xf numFmtId="226" fontId="4" fillId="0" borderId="10" xfId="0" applyNumberFormat="1" applyFont="1" applyBorder="1" applyAlignment="1" applyProtection="1">
      <alignment horizontal="center" vertical="center" shrinkToFit="1"/>
      <protection/>
    </xf>
    <xf numFmtId="214" fontId="4" fillId="0" borderId="10" xfId="0" applyNumberFormat="1" applyFont="1" applyBorder="1" applyAlignment="1" applyProtection="1">
      <alignment horizontal="center" vertical="center" shrinkToFit="1"/>
      <protection/>
    </xf>
    <xf numFmtId="213" fontId="4" fillId="0" borderId="10" xfId="0" applyNumberFormat="1" applyFont="1" applyBorder="1" applyAlignment="1" applyProtection="1">
      <alignment horizontal="center" vertical="center" shrinkToFit="1"/>
      <protection/>
    </xf>
    <xf numFmtId="211" fontId="4" fillId="0" borderId="10" xfId="0" applyNumberFormat="1" applyFont="1" applyBorder="1" applyAlignment="1" applyProtection="1">
      <alignment horizontal="center" vertical="center" shrinkToFit="1"/>
      <protection/>
    </xf>
    <xf numFmtId="208" fontId="4" fillId="0" borderId="42" xfId="0" applyNumberFormat="1" applyFont="1" applyBorder="1" applyAlignment="1" applyProtection="1">
      <alignment horizontal="right" vertical="center" shrinkToFit="1"/>
      <protection/>
    </xf>
    <xf numFmtId="207" fontId="4" fillId="0" borderId="42" xfId="0" applyNumberFormat="1" applyFont="1" applyBorder="1" applyAlignment="1" applyProtection="1">
      <alignment horizontal="right" vertical="center" shrinkToFit="1"/>
      <protection/>
    </xf>
    <xf numFmtId="185" fontId="4" fillId="0" borderId="43" xfId="0" applyNumberFormat="1" applyFont="1" applyBorder="1" applyAlignment="1" applyProtection="1">
      <alignment horizontal="right" vertical="center" shrinkToFit="1"/>
      <protection/>
    </xf>
    <xf numFmtId="0" fontId="0" fillId="0" borderId="0" xfId="0" applyFill="1" applyBorder="1" applyAlignment="1" applyProtection="1">
      <alignment vertical="center" shrinkToFit="1"/>
      <protection/>
    </xf>
    <xf numFmtId="0" fontId="4" fillId="0" borderId="0" xfId="0" applyFont="1" applyBorder="1" applyAlignment="1" applyProtection="1">
      <alignment vertical="center" shrinkToFit="1"/>
      <protection/>
    </xf>
    <xf numFmtId="0" fontId="2" fillId="0" borderId="0" xfId="0" applyFont="1" applyAlignment="1" applyProtection="1">
      <alignment wrapText="1"/>
      <protection/>
    </xf>
    <xf numFmtId="207" fontId="4" fillId="26" borderId="39" xfId="0" applyNumberFormat="1" applyFont="1" applyFill="1" applyBorder="1" applyAlignment="1" applyProtection="1">
      <alignment horizontal="left" vertical="center" shrinkToFit="1"/>
      <protection/>
    </xf>
    <xf numFmtId="176" fontId="4" fillId="26" borderId="39" xfId="0" applyNumberFormat="1" applyFont="1" applyFill="1" applyBorder="1" applyAlignment="1" applyProtection="1">
      <alignment horizontal="left" vertical="center" shrinkToFit="1"/>
      <protection/>
    </xf>
    <xf numFmtId="228" fontId="4" fillId="26" borderId="39" xfId="0" applyNumberFormat="1" applyFont="1" applyFill="1" applyBorder="1" applyAlignment="1" applyProtection="1">
      <alignment horizontal="left" vertical="center" shrinkToFit="1"/>
      <protection/>
    </xf>
    <xf numFmtId="227" fontId="4" fillId="26" borderId="10" xfId="0" applyNumberFormat="1" applyFont="1" applyFill="1" applyBorder="1" applyAlignment="1" applyProtection="1">
      <alignment horizontal="center" vertical="center" shrinkToFit="1"/>
      <protection/>
    </xf>
    <xf numFmtId="212" fontId="4" fillId="26" borderId="10" xfId="0" applyNumberFormat="1" applyFont="1" applyFill="1" applyBorder="1" applyAlignment="1" applyProtection="1">
      <alignment horizontal="center" vertical="center" shrinkToFit="1"/>
      <protection/>
    </xf>
    <xf numFmtId="229" fontId="2" fillId="21" borderId="21" xfId="0" applyNumberFormat="1" applyFont="1" applyFill="1" applyBorder="1" applyAlignment="1" applyProtection="1">
      <alignment horizontal="right" vertical="center" shrinkToFit="1"/>
      <protection/>
    </xf>
    <xf numFmtId="0" fontId="2" fillId="0" borderId="11" xfId="0" applyFont="1" applyFill="1" applyBorder="1" applyAlignment="1" applyProtection="1">
      <alignment horizontal="left" vertical="center" shrinkToFit="1"/>
      <protection/>
    </xf>
    <xf numFmtId="38" fontId="2" fillId="0" borderId="11" xfId="48" applyFont="1" applyFill="1" applyBorder="1" applyAlignment="1" applyProtection="1">
      <alignment horizontal="left" vertical="center" shrinkToFit="1"/>
      <protection/>
    </xf>
    <xf numFmtId="38" fontId="2" fillId="0" borderId="0" xfId="48" applyFont="1" applyFill="1" applyBorder="1" applyAlignment="1" applyProtection="1">
      <alignment horizontal="left" vertical="center" shrinkToFit="1"/>
      <protection/>
    </xf>
    <xf numFmtId="0" fontId="34" fillId="0" borderId="10" xfId="0" applyFont="1" applyFill="1" applyBorder="1" applyAlignment="1" applyProtection="1">
      <alignment horizontal="center" shrinkToFit="1"/>
      <protection/>
    </xf>
    <xf numFmtId="0" fontId="13" fillId="0" borderId="10" xfId="0" applyFont="1" applyFill="1" applyBorder="1" applyAlignment="1" applyProtection="1">
      <alignment horizontal="center"/>
      <protection/>
    </xf>
    <xf numFmtId="0" fontId="34" fillId="0" borderId="10" xfId="0" applyFont="1" applyFill="1" applyBorder="1" applyAlignment="1" applyProtection="1">
      <alignment horizontal="center" shrinkToFit="1"/>
      <protection/>
    </xf>
    <xf numFmtId="0" fontId="2" fillId="0" borderId="10" xfId="0" applyFont="1" applyFill="1" applyBorder="1" applyAlignment="1" applyProtection="1">
      <alignment horizontal="center" vertical="center" shrinkToFit="1"/>
      <protection/>
    </xf>
    <xf numFmtId="185" fontId="4" fillId="0" borderId="10" xfId="48" applyNumberFormat="1" applyFont="1" applyFill="1" applyBorder="1" applyAlignment="1" applyProtection="1">
      <alignment horizontal="center" vertical="center" shrinkToFit="1"/>
      <protection/>
    </xf>
    <xf numFmtId="0" fontId="2" fillId="0" borderId="10" xfId="0" applyFont="1" applyBorder="1" applyAlignment="1" applyProtection="1">
      <alignment horizontal="center" vertical="center" shrinkToFit="1"/>
      <protection/>
    </xf>
    <xf numFmtId="0" fontId="0" fillId="0" borderId="10" xfId="0" applyBorder="1" applyAlignment="1" applyProtection="1">
      <alignment vertical="center" shrinkToFit="1"/>
      <protection/>
    </xf>
    <xf numFmtId="176" fontId="4" fillId="0" borderId="10" xfId="48" applyNumberFormat="1" applyFont="1" applyBorder="1" applyAlignment="1" applyProtection="1">
      <alignment horizontal="center" vertical="center" shrinkToFit="1"/>
      <protection/>
    </xf>
    <xf numFmtId="183" fontId="4" fillId="0" borderId="10" xfId="0" applyNumberFormat="1" applyFont="1" applyBorder="1" applyAlignment="1" applyProtection="1">
      <alignment horizontal="center" shrinkToFit="1"/>
      <protection/>
    </xf>
    <xf numFmtId="183" fontId="4" fillId="0" borderId="12" xfId="0" applyNumberFormat="1" applyFont="1" applyBorder="1" applyAlignment="1" applyProtection="1">
      <alignment horizontal="center" shrinkToFit="1"/>
      <protection/>
    </xf>
    <xf numFmtId="185" fontId="4" fillId="0" borderId="12" xfId="0" applyNumberFormat="1" applyFont="1" applyBorder="1" applyAlignment="1" applyProtection="1">
      <alignment horizontal="right" shrinkToFit="1"/>
      <protection/>
    </xf>
    <xf numFmtId="179" fontId="4" fillId="0" borderId="10" xfId="0" applyNumberFormat="1" applyFont="1" applyBorder="1" applyAlignment="1" applyProtection="1">
      <alignment horizontal="right" shrinkToFit="1"/>
      <protection/>
    </xf>
    <xf numFmtId="180" fontId="4" fillId="0" borderId="10" xfId="0" applyNumberFormat="1" applyFont="1" applyBorder="1" applyAlignment="1" applyProtection="1">
      <alignment shrinkToFit="1"/>
      <protection/>
    </xf>
    <xf numFmtId="180" fontId="6" fillId="0" borderId="10" xfId="0" applyNumberFormat="1" applyFont="1" applyFill="1" applyBorder="1" applyAlignment="1" applyProtection="1">
      <alignment shrinkToFit="1"/>
      <protection/>
    </xf>
    <xf numFmtId="183" fontId="4" fillId="0" borderId="10" xfId="0" applyNumberFormat="1" applyFont="1" applyFill="1" applyBorder="1" applyAlignment="1" applyProtection="1">
      <alignment horizontal="center" shrinkToFit="1"/>
      <protection/>
    </xf>
    <xf numFmtId="203" fontId="4" fillId="0" borderId="10" xfId="48" applyNumberFormat="1" applyFont="1" applyFill="1" applyBorder="1" applyAlignment="1" applyProtection="1">
      <alignment horizontal="right" shrinkToFit="1"/>
      <protection/>
    </xf>
    <xf numFmtId="204" fontId="4" fillId="0" borderId="10" xfId="0" applyNumberFormat="1" applyFont="1" applyFill="1" applyBorder="1" applyAlignment="1" applyProtection="1">
      <alignment horizontal="right" shrinkToFit="1"/>
      <protection/>
    </xf>
    <xf numFmtId="178" fontId="4" fillId="0" borderId="10" xfId="0" applyNumberFormat="1" applyFont="1" applyFill="1" applyBorder="1" applyAlignment="1" applyProtection="1">
      <alignment horizontal="center" shrinkToFit="1"/>
      <protection/>
    </xf>
    <xf numFmtId="180" fontId="4" fillId="0" borderId="10" xfId="0" applyNumberFormat="1" applyFont="1" applyFill="1" applyBorder="1" applyAlignment="1" applyProtection="1">
      <alignment horizontal="center" shrinkToFit="1"/>
      <protection/>
    </xf>
    <xf numFmtId="0" fontId="0" fillId="0" borderId="0" xfId="0" applyBorder="1" applyAlignment="1" applyProtection="1">
      <alignment vertical="center" shrinkToFit="1"/>
      <protection/>
    </xf>
    <xf numFmtId="0" fontId="13" fillId="0" borderId="10" xfId="0" applyFont="1" applyBorder="1" applyAlignment="1" applyProtection="1">
      <alignment horizontal="center" shrinkToFit="1"/>
      <protection/>
    </xf>
    <xf numFmtId="182" fontId="13" fillId="0" borderId="10" xfId="48" applyNumberFormat="1" applyFont="1" applyBorder="1" applyAlignment="1" applyProtection="1">
      <alignment horizontal="right" shrinkToFit="1"/>
      <protection/>
    </xf>
    <xf numFmtId="176" fontId="13" fillId="0" borderId="10" xfId="48" applyNumberFormat="1" applyFont="1" applyBorder="1" applyAlignment="1" applyProtection="1">
      <alignment horizontal="right" shrinkToFit="1"/>
      <protection/>
    </xf>
    <xf numFmtId="179" fontId="13" fillId="0" borderId="10" xfId="48" applyNumberFormat="1" applyFont="1" applyBorder="1" applyAlignment="1" applyProtection="1">
      <alignment horizontal="right" shrinkToFit="1"/>
      <protection/>
    </xf>
    <xf numFmtId="180" fontId="13" fillId="0" borderId="10" xfId="48" applyNumberFormat="1" applyFont="1" applyBorder="1" applyAlignment="1" applyProtection="1">
      <alignment horizontal="right" shrinkToFit="1"/>
      <protection/>
    </xf>
    <xf numFmtId="189" fontId="15" fillId="0" borderId="10" xfId="0" applyNumberFormat="1" applyFont="1" applyFill="1" applyBorder="1" applyAlignment="1" applyProtection="1">
      <alignment horizontal="right" shrinkToFit="1"/>
      <protection/>
    </xf>
    <xf numFmtId="0" fontId="13" fillId="0" borderId="10" xfId="0" applyFont="1" applyFill="1" applyBorder="1" applyAlignment="1" applyProtection="1">
      <alignment horizontal="center" shrinkToFit="1"/>
      <protection/>
    </xf>
    <xf numFmtId="182" fontId="13" fillId="0" borderId="10" xfId="48" applyNumberFormat="1" applyFont="1" applyFill="1" applyBorder="1" applyAlignment="1" applyProtection="1">
      <alignment horizontal="right" shrinkToFit="1"/>
      <protection/>
    </xf>
    <xf numFmtId="176" fontId="13" fillId="0" borderId="10" xfId="48" applyNumberFormat="1" applyFont="1" applyFill="1" applyBorder="1" applyAlignment="1" applyProtection="1">
      <alignment horizontal="right" shrinkToFit="1"/>
      <protection/>
    </xf>
    <xf numFmtId="192" fontId="12" fillId="0" borderId="10" xfId="48" applyNumberFormat="1" applyFont="1" applyFill="1" applyBorder="1" applyAlignment="1" applyProtection="1">
      <alignment horizontal="right" shrinkToFit="1"/>
      <protection/>
    </xf>
    <xf numFmtId="193" fontId="12" fillId="0" borderId="10" xfId="48" applyNumberFormat="1" applyFont="1" applyFill="1" applyBorder="1" applyAlignment="1" applyProtection="1">
      <alignment horizontal="right" shrinkToFit="1"/>
      <protection/>
    </xf>
    <xf numFmtId="0" fontId="4" fillId="0" borderId="10" xfId="0" applyFont="1" applyBorder="1" applyAlignment="1" applyProtection="1">
      <alignment vertical="center" shrinkToFit="1"/>
      <protection/>
    </xf>
    <xf numFmtId="0" fontId="4" fillId="0" borderId="10" xfId="0" applyFont="1" applyBorder="1" applyAlignment="1" applyProtection="1">
      <alignment horizontal="right" vertical="center"/>
      <protection/>
    </xf>
    <xf numFmtId="0" fontId="8" fillId="0" borderId="0" xfId="0" applyFont="1" applyAlignment="1" applyProtection="1">
      <alignment vertical="center" shrinkToFit="1"/>
      <protection/>
    </xf>
    <xf numFmtId="0" fontId="10" fillId="0" borderId="18" xfId="0" applyFont="1" applyBorder="1" applyAlignment="1" applyProtection="1">
      <alignment horizontal="center" vertical="center" shrinkToFit="1"/>
      <protection/>
    </xf>
    <xf numFmtId="180" fontId="10" fillId="0" borderId="18" xfId="0" applyNumberFormat="1" applyFont="1" applyBorder="1" applyAlignment="1" applyProtection="1">
      <alignment shrinkToFit="1"/>
      <protection/>
    </xf>
    <xf numFmtId="183" fontId="10" fillId="0" borderId="18" xfId="0" applyNumberFormat="1" applyFont="1" applyBorder="1" applyAlignment="1" applyProtection="1">
      <alignment horizontal="center" shrinkToFit="1"/>
      <protection/>
    </xf>
    <xf numFmtId="179" fontId="10" fillId="0" borderId="18" xfId="0" applyNumberFormat="1" applyFont="1" applyBorder="1" applyAlignment="1" applyProtection="1">
      <alignment horizontal="right" shrinkToFit="1"/>
      <protection/>
    </xf>
    <xf numFmtId="180" fontId="6" fillId="0" borderId="18" xfId="0" applyNumberFormat="1" applyFont="1" applyFill="1" applyBorder="1" applyAlignment="1" applyProtection="1">
      <alignment shrinkToFit="1"/>
      <protection/>
    </xf>
    <xf numFmtId="180" fontId="6" fillId="0" borderId="0" xfId="0" applyNumberFormat="1" applyFont="1" applyFill="1" applyBorder="1" applyAlignment="1" applyProtection="1">
      <alignment shrinkToFit="1"/>
      <protection/>
    </xf>
    <xf numFmtId="0" fontId="10" fillId="0" borderId="0" xfId="0" applyFont="1" applyBorder="1" applyAlignment="1" applyProtection="1">
      <alignment horizontal="center" vertical="center" shrinkToFit="1"/>
      <protection/>
    </xf>
    <xf numFmtId="183" fontId="10" fillId="0" borderId="0" xfId="0" applyNumberFormat="1" applyFont="1" applyBorder="1" applyAlignment="1" applyProtection="1">
      <alignment horizontal="center" shrinkToFit="1"/>
      <protection/>
    </xf>
    <xf numFmtId="179" fontId="10" fillId="0" borderId="0" xfId="0" applyNumberFormat="1" applyFont="1" applyBorder="1" applyAlignment="1" applyProtection="1">
      <alignment horizontal="right" shrinkToFit="1"/>
      <protection/>
    </xf>
    <xf numFmtId="180" fontId="10" fillId="0" borderId="0" xfId="0" applyNumberFormat="1" applyFont="1" applyBorder="1" applyAlignment="1" applyProtection="1">
      <alignment shrinkToFit="1"/>
      <protection/>
    </xf>
    <xf numFmtId="0" fontId="7" fillId="21" borderId="16" xfId="0" applyFont="1" applyFill="1" applyBorder="1" applyAlignment="1" applyProtection="1">
      <alignment horizontal="center" vertical="center" shrinkToFit="1"/>
      <protection/>
    </xf>
    <xf numFmtId="176" fontId="13" fillId="21" borderId="16" xfId="0" applyNumberFormat="1" applyFont="1" applyFill="1" applyBorder="1" applyAlignment="1" applyProtection="1">
      <alignment horizontal="center" shrinkToFit="1"/>
      <protection/>
    </xf>
    <xf numFmtId="183" fontId="13" fillId="21" borderId="16" xfId="0" applyNumberFormat="1" applyFont="1" applyFill="1" applyBorder="1" applyAlignment="1" applyProtection="1">
      <alignment horizontal="center" shrinkToFit="1"/>
      <protection/>
    </xf>
    <xf numFmtId="182" fontId="13" fillId="21" borderId="16" xfId="0" applyNumberFormat="1" applyFont="1" applyFill="1" applyBorder="1" applyAlignment="1" applyProtection="1">
      <alignment horizontal="right" shrinkToFit="1"/>
      <protection/>
    </xf>
    <xf numFmtId="179" fontId="13" fillId="21" borderId="16" xfId="48" applyNumberFormat="1" applyFont="1" applyFill="1" applyBorder="1" applyAlignment="1" applyProtection="1">
      <alignment horizontal="right" shrinkToFit="1"/>
      <protection/>
    </xf>
    <xf numFmtId="180" fontId="13" fillId="21" borderId="16" xfId="48" applyNumberFormat="1" applyFont="1" applyFill="1" applyBorder="1" applyAlignment="1" applyProtection="1">
      <alignment horizontal="right" shrinkToFit="1"/>
      <protection/>
    </xf>
    <xf numFmtId="195" fontId="13" fillId="21" borderId="16" xfId="0" applyNumberFormat="1" applyFont="1" applyFill="1" applyBorder="1" applyAlignment="1" applyProtection="1">
      <alignment horizontal="center" shrinkToFit="1"/>
      <protection/>
    </xf>
    <xf numFmtId="0" fontId="4" fillId="21" borderId="0" xfId="0" applyFont="1" applyFill="1" applyBorder="1" applyAlignment="1" applyProtection="1">
      <alignment vertical="center" shrinkToFit="1"/>
      <protection/>
    </xf>
    <xf numFmtId="0" fontId="7" fillId="21" borderId="45" xfId="0" applyFont="1" applyFill="1" applyBorder="1" applyAlignment="1" applyProtection="1">
      <alignment horizontal="center" vertical="center" shrinkToFit="1"/>
      <protection/>
    </xf>
    <xf numFmtId="183" fontId="4" fillId="21" borderId="14" xfId="0" applyNumberFormat="1" applyFont="1" applyFill="1" applyBorder="1" applyAlignment="1" applyProtection="1">
      <alignment horizontal="center" shrinkToFit="1"/>
      <protection/>
    </xf>
    <xf numFmtId="194" fontId="4" fillId="21" borderId="14" xfId="0" applyNumberFormat="1" applyFont="1" applyFill="1" applyBorder="1" applyAlignment="1" applyProtection="1">
      <alignment horizontal="center" shrinkToFit="1"/>
      <protection/>
    </xf>
    <xf numFmtId="196" fontId="4" fillId="21" borderId="14" xfId="0" applyNumberFormat="1" applyFont="1" applyFill="1" applyBorder="1" applyAlignment="1" applyProtection="1">
      <alignment horizontal="center" shrinkToFit="1"/>
      <protection/>
    </xf>
    <xf numFmtId="178" fontId="4" fillId="21" borderId="14" xfId="0" applyNumberFormat="1" applyFont="1" applyFill="1" applyBorder="1" applyAlignment="1" applyProtection="1">
      <alignment horizontal="center" shrinkToFit="1"/>
      <protection/>
    </xf>
    <xf numFmtId="190" fontId="4" fillId="21" borderId="14" xfId="0" applyNumberFormat="1" applyFont="1" applyFill="1" applyBorder="1" applyAlignment="1" applyProtection="1">
      <alignment horizontal="center" shrinkToFit="1"/>
      <protection/>
    </xf>
    <xf numFmtId="195" fontId="4" fillId="21" borderId="14" xfId="0" applyNumberFormat="1" applyFont="1" applyFill="1" applyBorder="1" applyAlignment="1" applyProtection="1">
      <alignment horizontal="center" shrinkToFit="1"/>
      <protection/>
    </xf>
    <xf numFmtId="176" fontId="13" fillId="21" borderId="46" xfId="0" applyNumberFormat="1" applyFont="1" applyFill="1" applyBorder="1" applyAlignment="1" applyProtection="1">
      <alignment horizontal="center" shrinkToFit="1"/>
      <protection/>
    </xf>
    <xf numFmtId="0" fontId="4" fillId="0" borderId="0" xfId="0" applyFont="1" applyFill="1" applyAlignment="1" applyProtection="1">
      <alignment vertical="center" shrinkToFit="1"/>
      <protection/>
    </xf>
    <xf numFmtId="0" fontId="7" fillId="21" borderId="10" xfId="0" applyFont="1" applyFill="1" applyBorder="1" applyAlignment="1" applyProtection="1">
      <alignment horizontal="center" vertical="center" shrinkToFit="1"/>
      <protection/>
    </xf>
    <xf numFmtId="176" fontId="13" fillId="21" borderId="10" xfId="0" applyNumberFormat="1" applyFont="1" applyFill="1" applyBorder="1" applyAlignment="1" applyProtection="1">
      <alignment horizontal="center" shrinkToFit="1"/>
      <protection/>
    </xf>
    <xf numFmtId="183" fontId="13" fillId="21" borderId="10" xfId="0" applyNumberFormat="1" applyFont="1" applyFill="1" applyBorder="1" applyAlignment="1" applyProtection="1">
      <alignment horizontal="center" shrinkToFit="1"/>
      <protection/>
    </xf>
    <xf numFmtId="182" fontId="13" fillId="21" borderId="10" xfId="0" applyNumberFormat="1" applyFont="1" applyFill="1" applyBorder="1" applyAlignment="1" applyProtection="1">
      <alignment horizontal="right" shrinkToFit="1"/>
      <protection/>
    </xf>
    <xf numFmtId="179" fontId="13" fillId="21" borderId="10" xfId="48" applyNumberFormat="1" applyFont="1" applyFill="1" applyBorder="1" applyAlignment="1" applyProtection="1">
      <alignment horizontal="right" shrinkToFit="1"/>
      <protection/>
    </xf>
    <xf numFmtId="180" fontId="13" fillId="21" borderId="10" xfId="48" applyNumberFormat="1" applyFont="1" applyFill="1" applyBorder="1" applyAlignment="1" applyProtection="1">
      <alignment horizontal="right" shrinkToFit="1"/>
      <protection/>
    </xf>
    <xf numFmtId="187" fontId="4" fillId="21" borderId="0" xfId="0" applyNumberFormat="1" applyFont="1" applyFill="1" applyBorder="1" applyAlignment="1" applyProtection="1">
      <alignment vertical="center" shrinkToFit="1"/>
      <protection/>
    </xf>
    <xf numFmtId="0" fontId="7" fillId="21" borderId="47" xfId="0" applyFont="1" applyFill="1" applyBorder="1" applyAlignment="1" applyProtection="1">
      <alignment horizontal="center" vertical="center" shrinkToFit="1"/>
      <protection/>
    </xf>
    <xf numFmtId="183" fontId="4" fillId="21" borderId="42" xfId="0" applyNumberFormat="1" applyFont="1" applyFill="1" applyBorder="1" applyAlignment="1" applyProtection="1">
      <alignment horizontal="center" shrinkToFit="1"/>
      <protection/>
    </xf>
    <xf numFmtId="194" fontId="4" fillId="21" borderId="42" xfId="0" applyNumberFormat="1" applyFont="1" applyFill="1" applyBorder="1" applyAlignment="1" applyProtection="1">
      <alignment horizontal="center" shrinkToFit="1"/>
      <protection/>
    </xf>
    <xf numFmtId="196" fontId="4" fillId="21" borderId="42" xfId="0" applyNumberFormat="1" applyFont="1" applyFill="1" applyBorder="1" applyAlignment="1" applyProtection="1">
      <alignment horizontal="center" shrinkToFit="1"/>
      <protection/>
    </xf>
    <xf numFmtId="178" fontId="4" fillId="21" borderId="42" xfId="0" applyNumberFormat="1" applyFont="1" applyFill="1" applyBorder="1" applyAlignment="1" applyProtection="1">
      <alignment horizontal="center" shrinkToFit="1"/>
      <protection/>
    </xf>
    <xf numFmtId="190" fontId="4" fillId="21" borderId="42" xfId="0" applyNumberFormat="1" applyFont="1" applyFill="1" applyBorder="1" applyAlignment="1" applyProtection="1">
      <alignment horizontal="center" shrinkToFit="1"/>
      <protection/>
    </xf>
    <xf numFmtId="195" fontId="4" fillId="21" borderId="42" xfId="0" applyNumberFormat="1" applyFont="1" applyFill="1" applyBorder="1" applyAlignment="1" applyProtection="1">
      <alignment horizontal="center" shrinkToFit="1"/>
      <protection/>
    </xf>
    <xf numFmtId="176" fontId="13" fillId="21" borderId="43" xfId="0" applyNumberFormat="1" applyFont="1" applyFill="1" applyBorder="1" applyAlignment="1" applyProtection="1">
      <alignment horizontal="center" shrinkToFit="1"/>
      <protection/>
    </xf>
    <xf numFmtId="187" fontId="4" fillId="0" borderId="0" xfId="0" applyNumberFormat="1" applyFont="1" applyFill="1" applyBorder="1" applyAlignment="1" applyProtection="1">
      <alignment vertical="center" shrinkToFit="1"/>
      <protection/>
    </xf>
    <xf numFmtId="0" fontId="7" fillId="21" borderId="12" xfId="0" applyFont="1" applyFill="1" applyBorder="1" applyAlignment="1" applyProtection="1">
      <alignment horizontal="center" vertical="center" shrinkToFit="1"/>
      <protection/>
    </xf>
    <xf numFmtId="176" fontId="13" fillId="21" borderId="12" xfId="0" applyNumberFormat="1" applyFont="1" applyFill="1" applyBorder="1" applyAlignment="1" applyProtection="1">
      <alignment horizontal="center" shrinkToFit="1"/>
      <protection/>
    </xf>
    <xf numFmtId="183" fontId="13" fillId="21" borderId="12" xfId="0" applyNumberFormat="1" applyFont="1" applyFill="1" applyBorder="1" applyAlignment="1" applyProtection="1">
      <alignment horizontal="center" shrinkToFit="1"/>
      <protection/>
    </xf>
    <xf numFmtId="182" fontId="13" fillId="21" borderId="12" xfId="0" applyNumberFormat="1" applyFont="1" applyFill="1" applyBorder="1" applyAlignment="1" applyProtection="1">
      <alignment horizontal="right" shrinkToFit="1"/>
      <protection/>
    </xf>
    <xf numFmtId="179" fontId="13" fillId="21" borderId="12" xfId="48" applyNumberFormat="1" applyFont="1" applyFill="1" applyBorder="1" applyAlignment="1" applyProtection="1">
      <alignment horizontal="right" shrinkToFit="1"/>
      <protection/>
    </xf>
    <xf numFmtId="180" fontId="13" fillId="21" borderId="12" xfId="48" applyNumberFormat="1" applyFont="1" applyFill="1" applyBorder="1" applyAlignment="1" applyProtection="1">
      <alignment horizontal="right" shrinkToFit="1"/>
      <protection/>
    </xf>
    <xf numFmtId="195" fontId="13" fillId="21" borderId="12" xfId="0" applyNumberFormat="1" applyFont="1" applyFill="1" applyBorder="1" applyAlignment="1" applyProtection="1">
      <alignment horizontal="center" shrinkToFit="1"/>
      <protection/>
    </xf>
    <xf numFmtId="0" fontId="7" fillId="21" borderId="48" xfId="0" applyFont="1" applyFill="1" applyBorder="1" applyAlignment="1" applyProtection="1">
      <alignment horizontal="center" vertical="center" shrinkToFit="1"/>
      <protection/>
    </xf>
    <xf numFmtId="183" fontId="4" fillId="21" borderId="49" xfId="0" applyNumberFormat="1" applyFont="1" applyFill="1" applyBorder="1" applyAlignment="1" applyProtection="1">
      <alignment horizontal="center" shrinkToFit="1"/>
      <protection/>
    </xf>
    <xf numFmtId="194" fontId="4" fillId="21" borderId="49" xfId="0" applyNumberFormat="1" applyFont="1" applyFill="1" applyBorder="1" applyAlignment="1" applyProtection="1">
      <alignment horizontal="center" shrinkToFit="1"/>
      <protection/>
    </xf>
    <xf numFmtId="196" fontId="4" fillId="21" borderId="49" xfId="0" applyNumberFormat="1" applyFont="1" applyFill="1" applyBorder="1" applyAlignment="1" applyProtection="1">
      <alignment horizontal="center" shrinkToFit="1"/>
      <protection/>
    </xf>
    <xf numFmtId="178" fontId="4" fillId="21" borderId="49" xfId="0" applyNumberFormat="1" applyFont="1" applyFill="1" applyBorder="1" applyAlignment="1" applyProtection="1">
      <alignment horizontal="center" shrinkToFit="1"/>
      <protection/>
    </xf>
    <xf numFmtId="190" fontId="4" fillId="21" borderId="49" xfId="0" applyNumberFormat="1" applyFont="1" applyFill="1" applyBorder="1" applyAlignment="1" applyProtection="1">
      <alignment horizontal="center" shrinkToFit="1"/>
      <protection/>
    </xf>
    <xf numFmtId="195" fontId="4" fillId="21" borderId="49" xfId="0" applyNumberFormat="1" applyFont="1" applyFill="1" applyBorder="1" applyAlignment="1" applyProtection="1">
      <alignment horizontal="center" shrinkToFit="1"/>
      <protection/>
    </xf>
    <xf numFmtId="176" fontId="13" fillId="21" borderId="50" xfId="0" applyNumberFormat="1" applyFont="1" applyFill="1" applyBorder="1" applyAlignment="1" applyProtection="1">
      <alignment horizontal="center" shrinkToFit="1"/>
      <protection/>
    </xf>
    <xf numFmtId="0" fontId="3"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shrinkToFit="1"/>
      <protection/>
    </xf>
    <xf numFmtId="0" fontId="3" fillId="0" borderId="0" xfId="0" applyFont="1" applyFill="1" applyAlignment="1" applyProtection="1">
      <alignment horizontal="center" vertical="center" shrinkToFit="1"/>
      <protection/>
    </xf>
    <xf numFmtId="0" fontId="3" fillId="0" borderId="0" xfId="0" applyFont="1" applyFill="1" applyAlignment="1" applyProtection="1">
      <alignment horizontal="center" shrinkToFit="1"/>
      <protection/>
    </xf>
    <xf numFmtId="0" fontId="5" fillId="0" borderId="0" xfId="0" applyFont="1" applyAlignment="1" applyProtection="1">
      <alignment vertical="top"/>
      <protection/>
    </xf>
    <xf numFmtId="0" fontId="2" fillId="0" borderId="0" xfId="0" applyFont="1" applyAlignment="1" applyProtection="1">
      <alignment vertical="top" shrinkToFit="1"/>
      <protection/>
    </xf>
    <xf numFmtId="0" fontId="4" fillId="0" borderId="0" xfId="0" applyFont="1" applyFill="1" applyAlignment="1" applyProtection="1">
      <alignment vertical="top" shrinkToFit="1"/>
      <protection/>
    </xf>
    <xf numFmtId="0" fontId="4" fillId="0" borderId="51" xfId="0" applyFont="1" applyBorder="1" applyAlignment="1" applyProtection="1">
      <alignment horizontal="center" shrinkToFit="1"/>
      <protection/>
    </xf>
    <xf numFmtId="0" fontId="4" fillId="0" borderId="52" xfId="0" applyFont="1" applyBorder="1" applyAlignment="1" applyProtection="1">
      <alignment horizontal="center" shrinkToFit="1"/>
      <protection/>
    </xf>
    <xf numFmtId="176" fontId="4" fillId="0" borderId="53" xfId="0" applyNumberFormat="1" applyFont="1" applyBorder="1" applyAlignment="1" applyProtection="1">
      <alignment horizontal="center" shrinkToFit="1"/>
      <protection/>
    </xf>
    <xf numFmtId="0" fontId="1" fillId="0" borderId="0" xfId="0" applyNumberFormat="1" applyFont="1" applyBorder="1" applyAlignment="1" applyProtection="1">
      <alignment horizontal="right" shrinkToFit="1"/>
      <protection/>
    </xf>
    <xf numFmtId="0" fontId="4" fillId="0" borderId="51" xfId="0" applyFont="1" applyBorder="1" applyAlignment="1" applyProtection="1">
      <alignment horizontal="center" vertical="center" shrinkToFit="1"/>
      <protection/>
    </xf>
    <xf numFmtId="0" fontId="4" fillId="0" borderId="13" xfId="0" applyFont="1" applyBorder="1" applyAlignment="1" applyProtection="1">
      <alignment horizontal="center" shrinkToFit="1"/>
      <protection/>
    </xf>
    <xf numFmtId="0" fontId="4" fillId="0" borderId="12" xfId="0" applyFont="1" applyBorder="1" applyAlignment="1" applyProtection="1">
      <alignment horizontal="center" shrinkToFit="1"/>
      <protection/>
    </xf>
    <xf numFmtId="176" fontId="4" fillId="0" borderId="12" xfId="0" applyNumberFormat="1" applyFont="1" applyBorder="1" applyAlignment="1" applyProtection="1">
      <alignment horizontal="center" shrinkToFit="1"/>
      <protection/>
    </xf>
    <xf numFmtId="0" fontId="6" fillId="0" borderId="54" xfId="0" applyFont="1" applyBorder="1" applyAlignment="1" applyProtection="1">
      <alignment horizontal="center" vertical="center" shrinkToFit="1"/>
      <protection/>
    </xf>
    <xf numFmtId="0" fontId="6" fillId="0" borderId="55" xfId="0" applyFont="1" applyBorder="1" applyAlignment="1" applyProtection="1">
      <alignment horizontal="center" vertical="center" shrinkToFit="1"/>
      <protection/>
    </xf>
    <xf numFmtId="0" fontId="6" fillId="0" borderId="56" xfId="0" applyFont="1" applyBorder="1" applyAlignment="1" applyProtection="1">
      <alignment horizontal="center" vertical="center" shrinkToFit="1"/>
      <protection/>
    </xf>
    <xf numFmtId="0" fontId="1" fillId="0" borderId="0" xfId="0" applyNumberFormat="1" applyFont="1" applyBorder="1" applyAlignment="1" applyProtection="1">
      <alignment horizontal="right" vertical="center" shrinkToFit="1"/>
      <protection/>
    </xf>
    <xf numFmtId="0" fontId="4" fillId="0" borderId="54" xfId="0" applyFont="1" applyBorder="1" applyAlignment="1" applyProtection="1">
      <alignment horizontal="center" vertical="center" shrinkToFit="1"/>
      <protection/>
    </xf>
    <xf numFmtId="0" fontId="4" fillId="0" borderId="57" xfId="0" applyFont="1" applyBorder="1" applyAlignment="1" applyProtection="1">
      <alignment horizontal="center" shrinkToFit="1"/>
      <protection/>
    </xf>
    <xf numFmtId="0" fontId="4" fillId="0" borderId="58" xfId="0" applyFont="1" applyBorder="1" applyAlignment="1" applyProtection="1">
      <alignment horizontal="center" shrinkToFit="1"/>
      <protection/>
    </xf>
    <xf numFmtId="0" fontId="6" fillId="0" borderId="17" xfId="0" applyFont="1" applyBorder="1" applyAlignment="1" applyProtection="1">
      <alignment horizontal="center" vertical="center" shrinkToFit="1"/>
      <protection/>
    </xf>
    <xf numFmtId="176" fontId="6" fillId="0" borderId="16" xfId="0" applyNumberFormat="1" applyFont="1" applyBorder="1" applyAlignment="1" applyProtection="1">
      <alignment horizontal="center" vertical="center" shrinkToFit="1"/>
      <protection/>
    </xf>
    <xf numFmtId="0" fontId="18" fillId="0" borderId="0" xfId="0" applyFont="1" applyFill="1" applyAlignment="1" applyProtection="1">
      <alignment horizontal="center" vertical="center" shrinkToFit="1"/>
      <protection/>
    </xf>
    <xf numFmtId="0" fontId="7" fillId="0" borderId="59" xfId="0" applyFont="1" applyFill="1" applyBorder="1" applyAlignment="1" applyProtection="1">
      <alignment horizontal="center" vertical="center" shrinkToFit="1"/>
      <protection/>
    </xf>
    <xf numFmtId="185" fontId="13" fillId="0" borderId="59" xfId="48" applyNumberFormat="1" applyFont="1" applyFill="1" applyBorder="1" applyAlignment="1" applyProtection="1">
      <alignment horizontal="left" shrinkToFit="1"/>
      <protection/>
    </xf>
    <xf numFmtId="185" fontId="13" fillId="0" borderId="60" xfId="48" applyNumberFormat="1" applyFont="1" applyFill="1" applyBorder="1" applyAlignment="1" applyProtection="1">
      <alignment horizontal="left" shrinkToFit="1"/>
      <protection/>
    </xf>
    <xf numFmtId="9" fontId="4" fillId="0" borderId="61" xfId="0" applyNumberFormat="1" applyFont="1" applyFill="1" applyBorder="1" applyAlignment="1" applyProtection="1">
      <alignment horizontal="left" shrinkToFit="1"/>
      <protection/>
    </xf>
    <xf numFmtId="0" fontId="15" fillId="0" borderId="0" xfId="0" applyNumberFormat="1" applyFont="1" applyFill="1" applyBorder="1" applyAlignment="1" applyProtection="1">
      <alignment horizontal="center" shrinkToFit="1"/>
      <protection/>
    </xf>
    <xf numFmtId="0" fontId="18" fillId="0" borderId="57" xfId="0" applyFont="1" applyFill="1" applyBorder="1" applyAlignment="1" applyProtection="1">
      <alignment horizontal="center" vertical="center" shrinkToFit="1"/>
      <protection/>
    </xf>
    <xf numFmtId="0" fontId="18" fillId="0" borderId="58" xfId="0" applyFont="1" applyFill="1" applyBorder="1" applyAlignment="1" applyProtection="1">
      <alignment horizontal="center" vertical="center" shrinkToFit="1"/>
      <protection/>
    </xf>
    <xf numFmtId="182" fontId="4" fillId="0" borderId="11" xfId="0" applyNumberFormat="1" applyFont="1" applyBorder="1" applyAlignment="1" applyProtection="1">
      <alignment horizontal="center" shrinkToFit="1"/>
      <protection/>
    </xf>
    <xf numFmtId="176" fontId="4" fillId="0" borderId="10" xfId="0" applyNumberFormat="1" applyFont="1" applyBorder="1" applyAlignment="1" applyProtection="1">
      <alignment horizontal="center" shrinkToFit="1"/>
      <protection/>
    </xf>
    <xf numFmtId="207" fontId="4" fillId="0" borderId="10" xfId="0" applyNumberFormat="1" applyFont="1" applyBorder="1" applyAlignment="1" applyProtection="1">
      <alignment horizontal="center" shrinkToFit="1"/>
      <protection/>
    </xf>
    <xf numFmtId="9" fontId="4" fillId="0" borderId="10" xfId="42" applyFont="1" applyBorder="1" applyAlignment="1" applyProtection="1">
      <alignment horizontal="center" shrinkToFit="1"/>
      <protection/>
    </xf>
    <xf numFmtId="185" fontId="4" fillId="0" borderId="10" xfId="0" applyNumberFormat="1" applyFont="1" applyBorder="1" applyAlignment="1" applyProtection="1">
      <alignment horizontal="center" shrinkToFit="1"/>
      <protection/>
    </xf>
    <xf numFmtId="205" fontId="4" fillId="0" borderId="10" xfId="48" applyNumberFormat="1" applyFont="1" applyFill="1" applyBorder="1" applyAlignment="1" applyProtection="1">
      <alignment horizontal="center" shrinkToFit="1"/>
      <protection/>
    </xf>
    <xf numFmtId="181" fontId="4" fillId="0" borderId="10" xfId="0" applyNumberFormat="1" applyFont="1" applyBorder="1" applyAlignment="1" applyProtection="1">
      <alignment horizontal="center" shrinkToFit="1"/>
      <protection/>
    </xf>
    <xf numFmtId="0" fontId="7" fillId="0" borderId="62" xfId="0" applyFont="1" applyFill="1" applyBorder="1" applyAlignment="1" applyProtection="1">
      <alignment horizontal="center" vertical="center" shrinkToFit="1"/>
      <protection/>
    </xf>
    <xf numFmtId="185" fontId="13" fillId="0" borderId="62" xfId="48" applyNumberFormat="1" applyFont="1" applyFill="1" applyBorder="1" applyAlignment="1" applyProtection="1">
      <alignment horizontal="left" shrinkToFit="1"/>
      <protection/>
    </xf>
    <xf numFmtId="185" fontId="13" fillId="0" borderId="63" xfId="48" applyNumberFormat="1" applyFont="1" applyFill="1" applyBorder="1" applyAlignment="1" applyProtection="1">
      <alignment horizontal="left" shrinkToFit="1"/>
      <protection/>
    </xf>
    <xf numFmtId="9" fontId="4" fillId="0" borderId="64" xfId="0" applyNumberFormat="1" applyFont="1" applyFill="1" applyBorder="1" applyAlignment="1" applyProtection="1">
      <alignment horizontal="left" shrinkToFit="1"/>
      <protection/>
    </xf>
    <xf numFmtId="0" fontId="15" fillId="0" borderId="0" xfId="0" applyNumberFormat="1" applyFont="1" applyFill="1" applyBorder="1" applyAlignment="1" applyProtection="1" quotePrefix="1">
      <alignment horizontal="center" shrinkToFit="1"/>
      <protection/>
    </xf>
    <xf numFmtId="207" fontId="4" fillId="0" borderId="10" xfId="0" applyNumberFormat="1" applyFont="1" applyBorder="1" applyAlignment="1" applyProtection="1">
      <alignment shrinkToFit="1"/>
      <protection/>
    </xf>
    <xf numFmtId="181" fontId="4" fillId="0" borderId="10" xfId="0" applyNumberFormat="1" applyFont="1" applyBorder="1" applyAlignment="1" applyProtection="1">
      <alignment shrinkToFit="1"/>
      <protection/>
    </xf>
    <xf numFmtId="0" fontId="4" fillId="0" borderId="65" xfId="0" applyFont="1" applyBorder="1" applyAlignment="1" applyProtection="1">
      <alignment horizontal="center" vertical="center" wrapText="1"/>
      <protection/>
    </xf>
    <xf numFmtId="185" fontId="17" fillId="0" borderId="65" xfId="48" applyNumberFormat="1" applyFont="1" applyBorder="1" applyAlignment="1" applyProtection="1">
      <alignment shrinkToFit="1"/>
      <protection/>
    </xf>
    <xf numFmtId="185" fontId="17" fillId="0" borderId="66" xfId="48" applyNumberFormat="1" applyFont="1" applyBorder="1" applyAlignment="1" applyProtection="1">
      <alignment shrinkToFit="1"/>
      <protection/>
    </xf>
    <xf numFmtId="9" fontId="13" fillId="0" borderId="67" xfId="0" applyNumberFormat="1" applyFont="1" applyBorder="1" applyAlignment="1" applyProtection="1">
      <alignment horizontal="center" shrinkToFit="1"/>
      <protection/>
    </xf>
    <xf numFmtId="185" fontId="17" fillId="0" borderId="65" xfId="48" applyNumberFormat="1" applyFont="1" applyBorder="1" applyAlignment="1" applyProtection="1">
      <alignment horizontal="center"/>
      <protection/>
    </xf>
    <xf numFmtId="9" fontId="17" fillId="0" borderId="67" xfId="0" applyNumberFormat="1" applyFont="1" applyBorder="1" applyAlignment="1" applyProtection="1">
      <alignment horizontal="center" shrinkToFit="1"/>
      <protection/>
    </xf>
    <xf numFmtId="0" fontId="4" fillId="0" borderId="65" xfId="0" applyFont="1" applyBorder="1" applyAlignment="1" applyProtection="1">
      <alignment horizontal="center" vertical="center" shrinkToFit="1"/>
      <protection/>
    </xf>
    <xf numFmtId="185" fontId="17" fillId="0" borderId="68" xfId="48" applyNumberFormat="1" applyFont="1" applyBorder="1" applyAlignment="1" applyProtection="1">
      <alignment shrinkToFit="1"/>
      <protection/>
    </xf>
    <xf numFmtId="9" fontId="17" fillId="0" borderId="69" xfId="0" applyNumberFormat="1" applyFont="1" applyBorder="1" applyAlignment="1" applyProtection="1">
      <alignment horizontal="center" shrinkToFit="1"/>
      <protection/>
    </xf>
    <xf numFmtId="182" fontId="4" fillId="0" borderId="11" xfId="0" applyNumberFormat="1" applyFont="1" applyFill="1" applyBorder="1" applyAlignment="1" applyProtection="1">
      <alignment horizontal="center" shrinkToFit="1"/>
      <protection/>
    </xf>
    <xf numFmtId="176" fontId="4" fillId="0" borderId="10" xfId="0" applyNumberFormat="1" applyFont="1" applyFill="1" applyBorder="1" applyAlignment="1" applyProtection="1">
      <alignment horizontal="center" shrinkToFit="1"/>
      <protection/>
    </xf>
    <xf numFmtId="207" fontId="4" fillId="0" borderId="10" xfId="0" applyNumberFormat="1" applyFont="1" applyFill="1" applyBorder="1" applyAlignment="1" applyProtection="1">
      <alignment shrinkToFit="1"/>
      <protection/>
    </xf>
    <xf numFmtId="185" fontId="4" fillId="0" borderId="10" xfId="48" applyNumberFormat="1" applyFont="1" applyFill="1" applyBorder="1" applyAlignment="1" applyProtection="1">
      <alignment horizontal="center" shrinkToFit="1"/>
      <protection/>
    </xf>
    <xf numFmtId="181" fontId="4" fillId="0" borderId="10" xfId="48" applyNumberFormat="1" applyFont="1" applyFill="1" applyBorder="1" applyAlignment="1" applyProtection="1">
      <alignment shrinkToFit="1"/>
      <protection/>
    </xf>
    <xf numFmtId="0" fontId="6" fillId="0" borderId="70" xfId="0" applyFont="1" applyBorder="1" applyAlignment="1" applyProtection="1">
      <alignment horizontal="center" vertical="center" wrapText="1"/>
      <protection/>
    </xf>
    <xf numFmtId="185" fontId="17" fillId="0" borderId="40" xfId="48" applyNumberFormat="1" applyFont="1" applyBorder="1" applyAlignment="1" applyProtection="1">
      <alignment horizontal="right" shrinkToFit="1"/>
      <protection/>
    </xf>
    <xf numFmtId="185" fontId="17" fillId="0" borderId="71" xfId="48" applyNumberFormat="1" applyFont="1" applyBorder="1" applyAlignment="1" applyProtection="1">
      <alignment horizontal="right" shrinkToFit="1"/>
      <protection/>
    </xf>
    <xf numFmtId="9" fontId="4" fillId="0" borderId="40" xfId="0" applyNumberFormat="1" applyFont="1" applyBorder="1" applyAlignment="1" applyProtection="1">
      <alignment horizontal="center" shrinkToFit="1"/>
      <protection/>
    </xf>
    <xf numFmtId="185" fontId="17" fillId="0" borderId="70" xfId="48" applyNumberFormat="1" applyFont="1" applyBorder="1" applyAlignment="1" applyProtection="1">
      <alignment horizontal="center"/>
      <protection/>
    </xf>
    <xf numFmtId="9" fontId="11" fillId="0" borderId="40" xfId="0" applyNumberFormat="1" applyFont="1" applyBorder="1" applyAlignment="1" applyProtection="1">
      <alignment horizontal="center" shrinkToFit="1"/>
      <protection/>
    </xf>
    <xf numFmtId="0" fontId="6" fillId="0" borderId="70" xfId="0" applyFont="1" applyBorder="1" applyAlignment="1" applyProtection="1">
      <alignment horizontal="center" vertical="center" shrinkToFit="1"/>
      <protection/>
    </xf>
    <xf numFmtId="185" fontId="17" fillId="0" borderId="70" xfId="48" applyNumberFormat="1" applyFont="1" applyBorder="1" applyAlignment="1" applyProtection="1">
      <alignment shrinkToFit="1"/>
      <protection/>
    </xf>
    <xf numFmtId="185" fontId="17" fillId="0" borderId="72" xfId="48" applyNumberFormat="1" applyFont="1" applyBorder="1" applyAlignment="1" applyProtection="1">
      <alignment shrinkToFit="1"/>
      <protection/>
    </xf>
    <xf numFmtId="9" fontId="11" fillId="0" borderId="73" xfId="0" applyNumberFormat="1" applyFont="1" applyBorder="1" applyAlignment="1" applyProtection="1">
      <alignment horizontal="center" shrinkToFit="1"/>
      <protection/>
    </xf>
    <xf numFmtId="0" fontId="4" fillId="0" borderId="74" xfId="0" applyFont="1" applyBorder="1" applyAlignment="1" applyProtection="1">
      <alignment horizontal="center" vertical="center" wrapText="1"/>
      <protection/>
    </xf>
    <xf numFmtId="185" fontId="17" fillId="10" borderId="74" xfId="48" applyNumberFormat="1" applyFont="1" applyFill="1" applyBorder="1" applyAlignment="1" applyProtection="1">
      <alignment shrinkToFit="1"/>
      <protection/>
    </xf>
    <xf numFmtId="185" fontId="17" fillId="0" borderId="74" xfId="48" applyNumberFormat="1" applyFont="1" applyFill="1" applyBorder="1" applyAlignment="1" applyProtection="1">
      <alignment shrinkToFit="1"/>
      <protection/>
    </xf>
    <xf numFmtId="185" fontId="17" fillId="0" borderId="47" xfId="48" applyNumberFormat="1" applyFont="1" applyBorder="1" applyAlignment="1" applyProtection="1">
      <alignment shrinkToFit="1"/>
      <protection/>
    </xf>
    <xf numFmtId="9" fontId="13" fillId="0" borderId="43" xfId="0" applyNumberFormat="1" applyFont="1" applyBorder="1" applyAlignment="1" applyProtection="1">
      <alignment horizontal="center" shrinkToFit="1"/>
      <protection/>
    </xf>
    <xf numFmtId="185" fontId="17" fillId="0" borderId="74" xfId="48" applyNumberFormat="1" applyFont="1" applyFill="1" applyBorder="1" applyAlignment="1" applyProtection="1">
      <alignment horizontal="center"/>
      <protection/>
    </xf>
    <xf numFmtId="0" fontId="4" fillId="0" borderId="74" xfId="0" applyFont="1" applyBorder="1" applyAlignment="1" applyProtection="1">
      <alignment horizontal="center" vertical="center" shrinkToFit="1"/>
      <protection/>
    </xf>
    <xf numFmtId="185" fontId="17" fillId="0" borderId="74" xfId="48" applyNumberFormat="1" applyFont="1" applyBorder="1" applyAlignment="1" applyProtection="1">
      <alignment shrinkToFit="1"/>
      <protection/>
    </xf>
    <xf numFmtId="185" fontId="17" fillId="0" borderId="75" xfId="48" applyNumberFormat="1" applyFont="1" applyBorder="1" applyAlignment="1" applyProtection="1">
      <alignment shrinkToFit="1"/>
      <protection/>
    </xf>
    <xf numFmtId="9" fontId="11" fillId="0" borderId="76" xfId="0" applyNumberFormat="1" applyFont="1" applyBorder="1" applyAlignment="1" applyProtection="1">
      <alignment horizontal="center" shrinkToFit="1"/>
      <protection/>
    </xf>
    <xf numFmtId="185" fontId="17" fillId="0" borderId="74" xfId="48" applyNumberFormat="1" applyFont="1" applyBorder="1" applyAlignment="1" applyProtection="1">
      <alignment horizontal="center"/>
      <protection/>
    </xf>
    <xf numFmtId="0" fontId="8" fillId="0" borderId="0" xfId="0" applyFont="1" applyAlignment="1" applyProtection="1">
      <alignment vertical="center"/>
      <protection/>
    </xf>
    <xf numFmtId="219" fontId="21" fillId="24" borderId="51" xfId="48" applyNumberFormat="1" applyFont="1" applyFill="1" applyBorder="1" applyAlignment="1" applyProtection="1">
      <alignment horizontal="left" vertical="center" shrinkToFit="1"/>
      <protection/>
    </xf>
    <xf numFmtId="220" fontId="21" fillId="24" borderId="52" xfId="48" applyNumberFormat="1" applyFont="1" applyFill="1" applyBorder="1" applyAlignment="1" applyProtection="1">
      <alignment horizontal="center" vertical="center" shrinkToFit="1"/>
      <protection/>
    </xf>
    <xf numFmtId="221" fontId="21" fillId="0" borderId="53" xfId="0" applyNumberFormat="1" applyFont="1" applyBorder="1" applyAlignment="1" applyProtection="1">
      <alignment horizontal="left" vertical="center" shrinkToFit="1"/>
      <protection/>
    </xf>
    <xf numFmtId="217" fontId="19" fillId="24" borderId="51" xfId="48" applyNumberFormat="1" applyFont="1" applyFill="1" applyBorder="1" applyAlignment="1" applyProtection="1">
      <alignment horizontal="left" vertical="center"/>
      <protection/>
    </xf>
    <xf numFmtId="230" fontId="21" fillId="0" borderId="53" xfId="0" applyNumberFormat="1" applyFont="1" applyBorder="1" applyAlignment="1" applyProtection="1">
      <alignment horizontal="left" vertical="center" shrinkToFit="1"/>
      <protection/>
    </xf>
    <xf numFmtId="182" fontId="21" fillId="24" borderId="77" xfId="48" applyNumberFormat="1" applyFont="1" applyFill="1" applyBorder="1" applyAlignment="1" applyProtection="1">
      <alignment horizontal="right" vertical="center" shrinkToFit="1"/>
      <protection/>
    </xf>
    <xf numFmtId="176" fontId="21" fillId="24" borderId="78" xfId="48" applyNumberFormat="1" applyFont="1" applyFill="1" applyBorder="1" applyAlignment="1" applyProtection="1">
      <alignment horizontal="right" vertical="center" shrinkToFit="1"/>
      <protection/>
    </xf>
    <xf numFmtId="184" fontId="21" fillId="0" borderId="79" xfId="0" applyNumberFormat="1" applyFont="1" applyBorder="1" applyAlignment="1" applyProtection="1">
      <alignment horizontal="right" vertical="center" shrinkToFit="1"/>
      <protection/>
    </xf>
    <xf numFmtId="218" fontId="19" fillId="24" borderId="77" xfId="48" applyNumberFormat="1" applyFont="1" applyFill="1" applyBorder="1" applyAlignment="1" applyProtection="1">
      <alignment horizontal="right" vertical="center"/>
      <protection/>
    </xf>
    <xf numFmtId="230" fontId="21" fillId="0" borderId="79" xfId="0" applyNumberFormat="1" applyFont="1" applyBorder="1" applyAlignment="1" applyProtection="1">
      <alignment horizontal="right" vertical="center" shrinkToFit="1"/>
      <protection/>
    </xf>
    <xf numFmtId="0" fontId="31" fillId="0" borderId="0" xfId="0" applyNumberFormat="1" applyFont="1" applyBorder="1" applyAlignment="1" applyProtection="1">
      <alignment horizontal="right" shrinkToFit="1"/>
      <protection/>
    </xf>
    <xf numFmtId="0" fontId="4" fillId="0" borderId="0" xfId="0" applyFont="1" applyBorder="1" applyAlignment="1" applyProtection="1">
      <alignment shrinkToFit="1"/>
      <protection/>
    </xf>
    <xf numFmtId="176" fontId="4" fillId="0" borderId="0" xfId="0" applyNumberFormat="1" applyFont="1" applyBorder="1" applyAlignment="1" applyProtection="1">
      <alignment shrinkToFit="1"/>
      <protection/>
    </xf>
    <xf numFmtId="0" fontId="6" fillId="0" borderId="0" xfId="0" applyFont="1" applyBorder="1" applyAlignment="1" applyProtection="1">
      <alignment horizontal="center" shrinkToFit="1"/>
      <protection/>
    </xf>
    <xf numFmtId="0" fontId="4" fillId="0" borderId="0" xfId="0" applyFont="1" applyFill="1" applyAlignment="1" applyProtection="1">
      <alignment shrinkToFit="1"/>
      <protection/>
    </xf>
    <xf numFmtId="0" fontId="4" fillId="0" borderId="32" xfId="0" applyFont="1" applyBorder="1" applyAlignment="1" applyProtection="1">
      <alignment horizontal="center" vertical="center" shrinkToFit="1"/>
      <protection/>
    </xf>
    <xf numFmtId="0" fontId="2" fillId="0" borderId="0" xfId="0" applyFont="1" applyAlignment="1" applyProtection="1">
      <alignment vertical="top" wrapText="1"/>
      <protection/>
    </xf>
    <xf numFmtId="0" fontId="4" fillId="0" borderId="0" xfId="0" applyFont="1" applyAlignment="1" applyProtection="1">
      <alignment vertical="top" shrinkToFit="1"/>
      <protection/>
    </xf>
    <xf numFmtId="0" fontId="8" fillId="0" borderId="0" xfId="0" applyFont="1" applyAlignment="1" applyProtection="1">
      <alignment vertical="top" shrinkToFit="1"/>
      <protection/>
    </xf>
    <xf numFmtId="0" fontId="6" fillId="0" borderId="80" xfId="0" applyFont="1" applyBorder="1" applyAlignment="1" applyProtection="1">
      <alignment horizontal="center" vertical="center" shrinkToFit="1"/>
      <protection/>
    </xf>
    <xf numFmtId="0" fontId="6" fillId="0" borderId="81" xfId="0" applyFont="1" applyBorder="1" applyAlignment="1" applyProtection="1">
      <alignment horizontal="center" vertical="center" shrinkToFit="1"/>
      <protection/>
    </xf>
    <xf numFmtId="176" fontId="6" fillId="0" borderId="80" xfId="0" applyNumberFormat="1" applyFont="1" applyBorder="1" applyAlignment="1" applyProtection="1">
      <alignment horizontal="center" vertical="center" shrinkToFit="1"/>
      <protection/>
    </xf>
    <xf numFmtId="0" fontId="4" fillId="0" borderId="82" xfId="0" applyFont="1" applyBorder="1" applyAlignment="1" applyProtection="1">
      <alignment horizontal="center" vertical="center" shrinkToFit="1"/>
      <protection/>
    </xf>
    <xf numFmtId="38" fontId="13" fillId="0" borderId="60" xfId="48" applyFont="1" applyFill="1" applyBorder="1" applyAlignment="1" applyProtection="1">
      <alignment horizontal="left"/>
      <protection/>
    </xf>
    <xf numFmtId="184" fontId="13" fillId="0" borderId="61" xfId="0" applyNumberFormat="1" applyFont="1" applyFill="1" applyBorder="1" applyAlignment="1" applyProtection="1">
      <alignment horizontal="left" shrinkToFit="1"/>
      <protection/>
    </xf>
    <xf numFmtId="40" fontId="13" fillId="0" borderId="59" xfId="48" applyNumberFormat="1" applyFont="1" applyFill="1" applyBorder="1" applyAlignment="1" applyProtection="1">
      <alignment horizontal="left" shrinkToFit="1"/>
      <protection/>
    </xf>
    <xf numFmtId="38" fontId="13" fillId="0" borderId="60" xfId="48" applyNumberFormat="1" applyFont="1" applyFill="1" applyBorder="1" applyAlignment="1" applyProtection="1">
      <alignment horizontal="left" shrinkToFit="1"/>
      <protection/>
    </xf>
    <xf numFmtId="38" fontId="13" fillId="0" borderId="60" xfId="48" applyFont="1" applyFill="1" applyBorder="1" applyAlignment="1" applyProtection="1">
      <alignment horizontal="left" shrinkToFit="1"/>
      <protection/>
    </xf>
    <xf numFmtId="0" fontId="8" fillId="0" borderId="0" xfId="0" applyFont="1" applyFill="1" applyAlignment="1" applyProtection="1">
      <alignment shrinkToFit="1"/>
      <protection/>
    </xf>
    <xf numFmtId="38" fontId="13" fillId="0" borderId="63" xfId="48" applyFont="1" applyFill="1" applyBorder="1" applyAlignment="1" applyProtection="1">
      <alignment horizontal="left" shrinkToFit="1"/>
      <protection/>
    </xf>
    <xf numFmtId="184" fontId="13" fillId="0" borderId="64" xfId="0" applyNumberFormat="1" applyFont="1" applyFill="1" applyBorder="1" applyAlignment="1" applyProtection="1">
      <alignment horizontal="left" shrinkToFit="1"/>
      <protection/>
    </xf>
    <xf numFmtId="40" fontId="13" fillId="0" borderId="83" xfId="48" applyNumberFormat="1" applyFont="1" applyFill="1" applyBorder="1" applyAlignment="1" applyProtection="1">
      <alignment horizontal="left" shrinkToFit="1"/>
      <protection/>
    </xf>
    <xf numFmtId="38" fontId="13" fillId="0" borderId="63" xfId="48" applyNumberFormat="1" applyFont="1" applyFill="1" applyBorder="1" applyAlignment="1" applyProtection="1">
      <alignment horizontal="left" shrinkToFit="1"/>
      <protection/>
    </xf>
    <xf numFmtId="229" fontId="4" fillId="0" borderId="21" xfId="0" applyNumberFormat="1" applyFont="1" applyFill="1" applyBorder="1" applyAlignment="1" applyProtection="1">
      <alignment horizontal="right" vertical="center" shrinkToFit="1"/>
      <protection/>
    </xf>
    <xf numFmtId="233" fontId="4" fillId="0" borderId="11" xfId="0" applyNumberFormat="1" applyFont="1" applyBorder="1" applyAlignment="1" applyProtection="1">
      <alignment horizontal="left" vertical="center" shrinkToFit="1"/>
      <protection/>
    </xf>
    <xf numFmtId="229" fontId="4" fillId="0" borderId="21" xfId="0" applyNumberFormat="1" applyFont="1" applyBorder="1" applyAlignment="1" applyProtection="1">
      <alignment horizontal="right" vertical="center" shrinkToFit="1"/>
      <protection/>
    </xf>
    <xf numFmtId="206" fontId="4" fillId="0" borderId="11" xfId="0" applyNumberFormat="1" applyFont="1" applyFill="1" applyBorder="1" applyAlignment="1" applyProtection="1">
      <alignment horizontal="left" vertical="center" shrinkToFit="1"/>
      <protection/>
    </xf>
    <xf numFmtId="206" fontId="4" fillId="0" borderId="11" xfId="0" applyNumberFormat="1" applyFont="1" applyBorder="1" applyAlignment="1" applyProtection="1">
      <alignment horizontal="left" vertical="center" shrinkToFit="1"/>
      <protection/>
    </xf>
    <xf numFmtId="0" fontId="45" fillId="0" borderId="0" xfId="0" applyFont="1" applyAlignment="1" applyProtection="1">
      <alignment vertical="center"/>
      <protection/>
    </xf>
    <xf numFmtId="38" fontId="17" fillId="0" borderId="66" xfId="48" applyFont="1" applyBorder="1" applyAlignment="1" applyProtection="1">
      <alignment horizontal="right" shrinkToFit="1"/>
      <protection/>
    </xf>
    <xf numFmtId="184" fontId="13" fillId="0" borderId="67" xfId="0" applyNumberFormat="1" applyFont="1" applyBorder="1" applyAlignment="1" applyProtection="1">
      <alignment horizontal="right" shrinkToFit="1"/>
      <protection/>
    </xf>
    <xf numFmtId="40" fontId="17" fillId="0" borderId="65" xfId="48" applyNumberFormat="1" applyFont="1" applyBorder="1" applyAlignment="1" applyProtection="1">
      <alignment horizontal="center" shrinkToFit="1"/>
      <protection/>
    </xf>
    <xf numFmtId="38" fontId="17" fillId="0" borderId="66" xfId="48" applyNumberFormat="1" applyFont="1" applyBorder="1" applyAlignment="1" applyProtection="1">
      <alignment horizontal="right" shrinkToFit="1"/>
      <protection/>
    </xf>
    <xf numFmtId="38" fontId="17" fillId="0" borderId="68" xfId="48" applyFont="1" applyBorder="1" applyAlignment="1" applyProtection="1">
      <alignment horizontal="right" shrinkToFit="1"/>
      <protection/>
    </xf>
    <xf numFmtId="184" fontId="17" fillId="0" borderId="69" xfId="0" applyNumberFormat="1" applyFont="1" applyBorder="1" applyAlignment="1" applyProtection="1">
      <alignment horizontal="right" shrinkToFit="1"/>
      <protection/>
    </xf>
    <xf numFmtId="185" fontId="17" fillId="0" borderId="68" xfId="48" applyNumberFormat="1" applyFont="1" applyFill="1" applyBorder="1" applyAlignment="1" applyProtection="1">
      <alignment shrinkToFit="1"/>
      <protection/>
    </xf>
    <xf numFmtId="38" fontId="17" fillId="0" borderId="68" xfId="48" applyNumberFormat="1" applyFont="1" applyBorder="1" applyAlignment="1" applyProtection="1">
      <alignment horizontal="right" shrinkToFit="1"/>
      <protection/>
    </xf>
    <xf numFmtId="217" fontId="4" fillId="0" borderId="21" xfId="0" applyNumberFormat="1" applyFont="1" applyBorder="1" applyAlignment="1" applyProtection="1">
      <alignment horizontal="right" vertical="center" shrinkToFit="1"/>
      <protection/>
    </xf>
    <xf numFmtId="0" fontId="43" fillId="0" borderId="0" xfId="0" applyFont="1" applyAlignment="1" applyProtection="1">
      <alignment vertical="center"/>
      <protection/>
    </xf>
    <xf numFmtId="38" fontId="17" fillId="0" borderId="71" xfId="48" applyFont="1" applyBorder="1" applyAlignment="1" applyProtection="1">
      <alignment horizontal="right" shrinkToFit="1"/>
      <protection/>
    </xf>
    <xf numFmtId="184" fontId="13" fillId="0" borderId="40" xfId="0" applyNumberFormat="1" applyFont="1" applyBorder="1" applyAlignment="1" applyProtection="1">
      <alignment horizontal="right" shrinkToFit="1"/>
      <protection/>
    </xf>
    <xf numFmtId="40" fontId="17" fillId="0" borderId="70" xfId="48" applyNumberFormat="1" applyFont="1" applyBorder="1" applyAlignment="1" applyProtection="1">
      <alignment horizontal="center" shrinkToFit="1"/>
      <protection/>
    </xf>
    <xf numFmtId="38" fontId="17" fillId="0" borderId="71" xfId="48" applyNumberFormat="1" applyFont="1" applyBorder="1" applyAlignment="1" applyProtection="1">
      <alignment horizontal="right" shrinkToFit="1"/>
      <protection/>
    </xf>
    <xf numFmtId="0" fontId="14" fillId="0" borderId="0" xfId="0" applyFont="1" applyBorder="1" applyAlignment="1" applyProtection="1">
      <alignment horizontal="center" shrinkToFit="1"/>
      <protection/>
    </xf>
    <xf numFmtId="38" fontId="17" fillId="0" borderId="72" xfId="48" applyFont="1" applyBorder="1" applyAlignment="1" applyProtection="1">
      <alignment horizontal="right" shrinkToFit="1"/>
      <protection/>
    </xf>
    <xf numFmtId="184" fontId="17" fillId="0" borderId="73" xfId="0" applyNumberFormat="1" applyFont="1" applyBorder="1" applyAlignment="1" applyProtection="1">
      <alignment horizontal="right" shrinkToFit="1"/>
      <protection/>
    </xf>
    <xf numFmtId="185" fontId="17" fillId="0" borderId="72" xfId="48" applyNumberFormat="1" applyFont="1" applyBorder="1" applyAlignment="1" applyProtection="1">
      <alignment horizontal="right" shrinkToFit="1"/>
      <protection/>
    </xf>
    <xf numFmtId="38" fontId="17" fillId="0" borderId="72" xfId="48" applyNumberFormat="1" applyFont="1" applyBorder="1" applyAlignment="1" applyProtection="1">
      <alignment horizontal="right" shrinkToFit="1"/>
      <protection/>
    </xf>
    <xf numFmtId="0" fontId="9" fillId="0" borderId="0" xfId="0" applyNumberFormat="1" applyFont="1" applyBorder="1" applyAlignment="1" applyProtection="1">
      <alignment horizontal="right" shrinkToFit="1"/>
      <protection/>
    </xf>
    <xf numFmtId="38" fontId="17" fillId="0" borderId="47" xfId="48" applyFont="1" applyFill="1" applyBorder="1" applyAlignment="1" applyProtection="1">
      <alignment horizontal="right" shrinkToFit="1"/>
      <protection/>
    </xf>
    <xf numFmtId="184" fontId="13" fillId="0" borderId="43" xfId="42" applyNumberFormat="1" applyFont="1" applyFill="1" applyBorder="1" applyAlignment="1" applyProtection="1">
      <alignment horizontal="right" shrinkToFit="1"/>
      <protection/>
    </xf>
    <xf numFmtId="185" fontId="17" fillId="0" borderId="47" xfId="48" applyNumberFormat="1" applyFont="1" applyBorder="1" applyAlignment="1" applyProtection="1">
      <alignment horizontal="right" shrinkToFit="1"/>
      <protection/>
    </xf>
    <xf numFmtId="40" fontId="17" fillId="0" borderId="74" xfId="48" applyNumberFormat="1" applyFont="1" applyBorder="1" applyAlignment="1" applyProtection="1">
      <alignment horizontal="center" shrinkToFit="1"/>
      <protection/>
    </xf>
    <xf numFmtId="38" fontId="17" fillId="0" borderId="47" xfId="48" applyFont="1" applyBorder="1" applyAlignment="1" applyProtection="1">
      <alignment horizontal="right" shrinkToFit="1"/>
      <protection/>
    </xf>
    <xf numFmtId="38" fontId="17" fillId="0" borderId="75" xfId="48" applyFont="1" applyFill="1" applyBorder="1" applyAlignment="1" applyProtection="1">
      <alignment horizontal="right" shrinkToFit="1"/>
      <protection/>
    </xf>
    <xf numFmtId="184" fontId="17" fillId="0" borderId="76" xfId="42" applyNumberFormat="1" applyFont="1" applyFill="1" applyBorder="1" applyAlignment="1" applyProtection="1">
      <alignment horizontal="right" shrinkToFit="1"/>
      <protection/>
    </xf>
    <xf numFmtId="185" fontId="17" fillId="0" borderId="75" xfId="48" applyNumberFormat="1" applyFont="1" applyBorder="1" applyAlignment="1" applyProtection="1">
      <alignment horizontal="right" shrinkToFit="1"/>
      <protection/>
    </xf>
    <xf numFmtId="184" fontId="17" fillId="0" borderId="43" xfId="42" applyNumberFormat="1" applyFont="1" applyFill="1" applyBorder="1" applyAlignment="1" applyProtection="1">
      <alignment horizontal="right" shrinkToFit="1"/>
      <protection/>
    </xf>
    <xf numFmtId="0" fontId="18" fillId="0" borderId="21" xfId="0" applyFont="1" applyFill="1" applyBorder="1" applyAlignment="1" applyProtection="1">
      <alignment horizontal="center" vertical="center" shrinkToFit="1"/>
      <protection/>
    </xf>
    <xf numFmtId="0" fontId="18" fillId="0" borderId="11" xfId="0" applyFont="1" applyFill="1" applyBorder="1" applyAlignment="1" applyProtection="1">
      <alignment horizontal="center" vertical="center" shrinkToFit="1"/>
      <protection/>
    </xf>
    <xf numFmtId="0" fontId="18" fillId="0" borderId="12" xfId="0" applyFont="1" applyBorder="1" applyAlignment="1" applyProtection="1">
      <alignment horizontal="center" vertical="center" shrinkToFit="1"/>
      <protection/>
    </xf>
    <xf numFmtId="0" fontId="8" fillId="0" borderId="12" xfId="0" applyFont="1" applyBorder="1" applyAlignment="1" applyProtection="1">
      <alignment horizontal="center" vertical="center" shrinkToFit="1"/>
      <protection/>
    </xf>
    <xf numFmtId="176" fontId="8" fillId="0" borderId="12" xfId="0" applyNumberFormat="1" applyFont="1" applyBorder="1" applyAlignment="1" applyProtection="1">
      <alignment horizontal="center" vertical="center" shrinkToFit="1"/>
      <protection/>
    </xf>
    <xf numFmtId="0" fontId="8" fillId="0" borderId="23" xfId="0" applyFont="1" applyBorder="1" applyAlignment="1" applyProtection="1">
      <alignment horizontal="center" vertical="center" shrinkToFit="1"/>
      <protection/>
    </xf>
    <xf numFmtId="198" fontId="15" fillId="24" borderId="48" xfId="48" applyNumberFormat="1" applyFont="1" applyFill="1" applyBorder="1" applyAlignment="1" applyProtection="1">
      <alignment horizontal="left" vertical="center" shrinkToFit="1"/>
      <protection/>
    </xf>
    <xf numFmtId="200" fontId="15" fillId="24" borderId="48" xfId="48" applyNumberFormat="1" applyFont="1" applyFill="1" applyBorder="1" applyAlignment="1" applyProtection="1">
      <alignment horizontal="left" vertical="center" shrinkToFit="1"/>
      <protection/>
    </xf>
    <xf numFmtId="216" fontId="21" fillId="24" borderId="51" xfId="48" applyNumberFormat="1" applyFont="1" applyFill="1" applyBorder="1" applyAlignment="1" applyProtection="1">
      <alignment horizontal="left" vertical="center" shrinkToFit="1"/>
      <protection/>
    </xf>
    <xf numFmtId="201" fontId="15" fillId="0" borderId="48" xfId="48" applyNumberFormat="1" applyFont="1" applyFill="1" applyBorder="1" applyAlignment="1" applyProtection="1">
      <alignment horizontal="left" vertical="center" shrinkToFit="1"/>
      <protection/>
    </xf>
    <xf numFmtId="198" fontId="15" fillId="24" borderId="52" xfId="48" applyNumberFormat="1" applyFont="1" applyFill="1" applyBorder="1" applyAlignment="1" applyProtection="1">
      <alignment horizontal="left" vertical="center" shrinkToFit="1"/>
      <protection/>
    </xf>
    <xf numFmtId="200" fontId="15" fillId="24" borderId="52" xfId="48" applyNumberFormat="1" applyFont="1" applyFill="1" applyBorder="1" applyAlignment="1" applyProtection="1">
      <alignment horizontal="left" vertical="center" shrinkToFit="1"/>
      <protection/>
    </xf>
    <xf numFmtId="0" fontId="25" fillId="0" borderId="10" xfId="0" applyFont="1" applyBorder="1" applyAlignment="1" applyProtection="1">
      <alignment horizontal="center" wrapText="1"/>
      <protection/>
    </xf>
    <xf numFmtId="0" fontId="25" fillId="0" borderId="21" xfId="0" applyFont="1" applyBorder="1" applyAlignment="1" applyProtection="1">
      <alignment horizontal="center" wrapText="1"/>
      <protection/>
    </xf>
    <xf numFmtId="183" fontId="20" fillId="24" borderId="84" xfId="48" applyNumberFormat="1" applyFont="1" applyFill="1" applyBorder="1" applyAlignment="1" applyProtection="1">
      <alignment horizontal="right" vertical="center" shrinkToFit="1"/>
      <protection/>
    </xf>
    <xf numFmtId="199" fontId="15" fillId="24" borderId="84" xfId="0" applyNumberFormat="1" applyFont="1" applyFill="1" applyBorder="1" applyAlignment="1" applyProtection="1">
      <alignment horizontal="right" vertical="center" wrapText="1" shrinkToFit="1"/>
      <protection/>
    </xf>
    <xf numFmtId="0" fontId="21" fillId="24" borderId="77" xfId="48" applyNumberFormat="1" applyFont="1" applyFill="1" applyBorder="1" applyAlignment="1" applyProtection="1">
      <alignment horizontal="center" vertical="center" shrinkToFit="1"/>
      <protection/>
    </xf>
    <xf numFmtId="202" fontId="15" fillId="0" borderId="84" xfId="0" applyNumberFormat="1" applyFont="1" applyFill="1" applyBorder="1" applyAlignment="1" applyProtection="1">
      <alignment horizontal="right" vertical="center" wrapText="1" shrinkToFit="1"/>
      <protection/>
    </xf>
    <xf numFmtId="0" fontId="3" fillId="0" borderId="0" xfId="0" applyFont="1" applyAlignment="1" applyProtection="1">
      <alignment horizontal="center" vertical="center" shrinkToFit="1"/>
      <protection/>
    </xf>
    <xf numFmtId="183" fontId="20" fillId="24" borderId="78" xfId="48" applyNumberFormat="1" applyFont="1" applyFill="1" applyBorder="1" applyAlignment="1" applyProtection="1">
      <alignment horizontal="right" vertical="center" shrinkToFit="1"/>
      <protection/>
    </xf>
    <xf numFmtId="199" fontId="15" fillId="24" borderId="78" xfId="0" applyNumberFormat="1" applyFont="1" applyFill="1" applyBorder="1" applyAlignment="1" applyProtection="1">
      <alignment horizontal="right" vertical="center" wrapText="1" shrinkToFit="1"/>
      <protection/>
    </xf>
    <xf numFmtId="176" fontId="4" fillId="0" borderId="11" xfId="0" applyNumberFormat="1" applyFont="1" applyBorder="1" applyAlignment="1" applyProtection="1">
      <alignment horizontal="left" vertical="center" shrinkToFit="1"/>
      <protection/>
    </xf>
    <xf numFmtId="40" fontId="44" fillId="26" borderId="10" xfId="48" applyNumberFormat="1" applyFont="1" applyFill="1" applyBorder="1" applyAlignment="1" applyProtection="1">
      <alignment horizontal="center" vertical="center" shrinkToFit="1"/>
      <protection/>
    </xf>
    <xf numFmtId="0" fontId="28" fillId="0" borderId="0" xfId="0" applyFont="1" applyBorder="1" applyAlignment="1" applyProtection="1">
      <alignment vertical="center"/>
      <protection/>
    </xf>
    <xf numFmtId="0" fontId="2" fillId="0" borderId="0" xfId="0" applyFont="1" applyAlignment="1" applyProtection="1">
      <alignment horizontal="right" vertical="center" shrinkToFit="1"/>
      <protection/>
    </xf>
    <xf numFmtId="0" fontId="2" fillId="24" borderId="10" xfId="0" applyFont="1" applyFill="1" applyBorder="1" applyAlignment="1" applyProtection="1">
      <alignment horizontal="center" vertical="center" shrinkToFit="1"/>
      <protection/>
    </xf>
    <xf numFmtId="0" fontId="2" fillId="10" borderId="0" xfId="0" applyFont="1" applyFill="1" applyAlignment="1" applyProtection="1">
      <alignment horizontal="center" vertical="center"/>
      <protection/>
    </xf>
    <xf numFmtId="0" fontId="2" fillId="0" borderId="0" xfId="0" applyFont="1" applyAlignment="1" applyProtection="1">
      <alignment vertical="center"/>
      <protection/>
    </xf>
    <xf numFmtId="0" fontId="40" fillId="0" borderId="30" xfId="0" applyFont="1" applyBorder="1" applyAlignment="1" applyProtection="1">
      <alignment vertical="center" shrinkToFit="1"/>
      <protection/>
    </xf>
    <xf numFmtId="9" fontId="41" fillId="0" borderId="30" xfId="42" applyFont="1" applyBorder="1" applyAlignment="1" applyProtection="1">
      <alignment horizontal="left" vertical="center" shrinkToFit="1"/>
      <protection/>
    </xf>
    <xf numFmtId="0" fontId="40" fillId="0" borderId="30" xfId="0" applyFont="1" applyBorder="1" applyAlignment="1" applyProtection="1">
      <alignment horizontal="right" vertical="center" shrinkToFit="1"/>
      <protection/>
    </xf>
    <xf numFmtId="9" fontId="41" fillId="0" borderId="31" xfId="42" applyFont="1" applyBorder="1" applyAlignment="1" applyProtection="1">
      <alignment horizontal="left" vertical="center" shrinkToFit="1"/>
      <protection/>
    </xf>
    <xf numFmtId="40" fontId="23" fillId="0" borderId="10" xfId="48" applyNumberFormat="1" applyFont="1" applyBorder="1" applyAlignment="1" applyProtection="1">
      <alignment horizontal="center" vertical="center" shrinkToFit="1"/>
      <protection/>
    </xf>
    <xf numFmtId="40" fontId="23" fillId="0" borderId="10" xfId="48" applyNumberFormat="1" applyFont="1" applyFill="1" applyBorder="1" applyAlignment="1" applyProtection="1">
      <alignment horizontal="center" vertical="center" shrinkToFit="1"/>
      <protection/>
    </xf>
    <xf numFmtId="40" fontId="23" fillId="0" borderId="21" xfId="48" applyNumberFormat="1" applyFont="1" applyFill="1" applyBorder="1" applyAlignment="1" applyProtection="1">
      <alignment horizontal="center" vertical="center" shrinkToFit="1"/>
      <protection/>
    </xf>
    <xf numFmtId="0" fontId="4" fillId="0" borderId="0" xfId="0" applyFont="1" applyAlignment="1" applyProtection="1">
      <alignment horizontal="right" vertical="center" shrinkToFit="1"/>
      <protection/>
    </xf>
    <xf numFmtId="0" fontId="32" fillId="0" borderId="0" xfId="0" applyFont="1" applyFill="1" applyAlignment="1" applyProtection="1">
      <alignment horizontal="left" vertical="center"/>
      <protection/>
    </xf>
    <xf numFmtId="9" fontId="2" fillId="0" borderId="0" xfId="42" applyFont="1" applyAlignment="1" applyProtection="1">
      <alignment vertical="center" shrinkToFit="1"/>
      <protection/>
    </xf>
    <xf numFmtId="0" fontId="6" fillId="21" borderId="0" xfId="0" applyFont="1" applyFill="1" applyAlignment="1" applyProtection="1">
      <alignment vertical="center"/>
      <protection/>
    </xf>
    <xf numFmtId="0" fontId="2" fillId="21" borderId="0" xfId="0" applyFont="1" applyFill="1" applyAlignment="1" applyProtection="1">
      <alignment vertical="center"/>
      <protection/>
    </xf>
    <xf numFmtId="40" fontId="26" fillId="0" borderId="10" xfId="48" applyNumberFormat="1" applyFont="1" applyBorder="1" applyAlignment="1" applyProtection="1">
      <alignment horizontal="center" vertical="center" shrinkToFit="1"/>
      <protection/>
    </xf>
    <xf numFmtId="40" fontId="26" fillId="0" borderId="10" xfId="48" applyNumberFormat="1" applyFont="1" applyFill="1" applyBorder="1" applyAlignment="1" applyProtection="1">
      <alignment horizontal="center" vertical="center" shrinkToFit="1"/>
      <protection/>
    </xf>
    <xf numFmtId="40" fontId="26" fillId="0" borderId="21" xfId="48" applyNumberFormat="1" applyFont="1" applyFill="1" applyBorder="1" applyAlignment="1" applyProtection="1">
      <alignment horizontal="center" vertical="center" shrinkToFit="1"/>
      <protection/>
    </xf>
    <xf numFmtId="40" fontId="26" fillId="26" borderId="10" xfId="48" applyNumberFormat="1" applyFont="1" applyFill="1" applyBorder="1" applyAlignment="1" applyProtection="1">
      <alignment horizontal="center" vertical="center" shrinkToFit="1"/>
      <protection/>
    </xf>
    <xf numFmtId="208" fontId="8" fillId="0" borderId="10" xfId="0" applyNumberFormat="1" applyFont="1" applyBorder="1" applyAlignment="1" applyProtection="1">
      <alignment horizontal="right" vertical="center" shrinkToFit="1"/>
      <protection/>
    </xf>
    <xf numFmtId="205" fontId="8" fillId="0" borderId="10" xfId="0" applyNumberFormat="1" applyFont="1" applyBorder="1" applyAlignment="1" applyProtection="1">
      <alignment horizontal="right" vertical="center" shrinkToFit="1"/>
      <protection/>
    </xf>
    <xf numFmtId="185" fontId="8" fillId="0" borderId="11" xfId="0" applyNumberFormat="1" applyFont="1" applyBorder="1" applyAlignment="1" applyProtection="1">
      <alignment horizontal="right" vertical="center" shrinkToFit="1"/>
      <protection/>
    </xf>
    <xf numFmtId="209" fontId="8" fillId="0" borderId="21" xfId="0" applyNumberFormat="1" applyFont="1" applyBorder="1" applyAlignment="1" applyProtection="1">
      <alignment horizontal="right" vertical="center" shrinkToFit="1"/>
      <protection/>
    </xf>
    <xf numFmtId="210" fontId="8" fillId="0" borderId="21" xfId="0" applyNumberFormat="1" applyFont="1" applyBorder="1" applyAlignment="1" applyProtection="1">
      <alignment horizontal="right" vertical="center" shrinkToFit="1"/>
      <protection/>
    </xf>
    <xf numFmtId="207" fontId="8" fillId="0" borderId="10" xfId="0" applyNumberFormat="1" applyFont="1" applyBorder="1" applyAlignment="1" applyProtection="1">
      <alignment horizontal="right" vertical="center" shrinkToFit="1"/>
      <protection/>
    </xf>
    <xf numFmtId="210" fontId="8" fillId="0" borderId="10" xfId="0" applyNumberFormat="1" applyFont="1" applyBorder="1" applyAlignment="1" applyProtection="1">
      <alignment horizontal="right" vertical="center" shrinkToFit="1"/>
      <protection/>
    </xf>
    <xf numFmtId="208" fontId="8" fillId="26" borderId="10" xfId="0" applyNumberFormat="1" applyFont="1" applyFill="1" applyBorder="1" applyAlignment="1" applyProtection="1">
      <alignment horizontal="right" vertical="center" shrinkToFit="1"/>
      <protection/>
    </xf>
    <xf numFmtId="205" fontId="8" fillId="26" borderId="10" xfId="0" applyNumberFormat="1" applyFont="1" applyFill="1" applyBorder="1" applyAlignment="1" applyProtection="1">
      <alignment horizontal="right" vertical="center" shrinkToFit="1"/>
      <protection/>
    </xf>
    <xf numFmtId="185" fontId="8" fillId="26" borderId="10" xfId="0" applyNumberFormat="1" applyFont="1" applyFill="1" applyBorder="1" applyAlignment="1" applyProtection="1">
      <alignment horizontal="right" vertical="center" shrinkToFit="1"/>
      <protection/>
    </xf>
    <xf numFmtId="209" fontId="8" fillId="26" borderId="10" xfId="0" applyNumberFormat="1" applyFont="1" applyFill="1" applyBorder="1" applyAlignment="1" applyProtection="1">
      <alignment horizontal="right" vertical="center" shrinkToFit="1"/>
      <protection/>
    </xf>
    <xf numFmtId="210" fontId="8" fillId="26" borderId="10" xfId="0" applyNumberFormat="1" applyFont="1" applyFill="1" applyBorder="1" applyAlignment="1" applyProtection="1">
      <alignment horizontal="right" vertical="center" shrinkToFit="1"/>
      <protection/>
    </xf>
    <xf numFmtId="207" fontId="8" fillId="26" borderId="10" xfId="0" applyNumberFormat="1" applyFont="1" applyFill="1" applyBorder="1" applyAlignment="1" applyProtection="1">
      <alignment horizontal="right" vertical="center" shrinkToFit="1"/>
      <protection/>
    </xf>
    <xf numFmtId="0" fontId="27" fillId="0" borderId="0" xfId="0" applyFont="1" applyFill="1" applyAlignment="1" applyProtection="1">
      <alignment/>
      <protection/>
    </xf>
    <xf numFmtId="0" fontId="33" fillId="0" borderId="0" xfId="0" applyFont="1" applyFill="1" applyAlignment="1" applyProtection="1">
      <alignment horizontal="center" vertical="center" shrinkToFit="1"/>
      <protection/>
    </xf>
    <xf numFmtId="177" fontId="18" fillId="0" borderId="0" xfId="0" applyNumberFormat="1" applyFont="1" applyFill="1" applyAlignment="1" applyProtection="1">
      <alignment horizontal="center" vertical="center" shrinkToFit="1"/>
      <protection/>
    </xf>
    <xf numFmtId="177" fontId="8" fillId="0" borderId="0" xfId="0" applyNumberFormat="1" applyFont="1" applyAlignment="1" applyProtection="1">
      <alignment vertical="center" shrinkToFit="1"/>
      <protection/>
    </xf>
    <xf numFmtId="232" fontId="8" fillId="0" borderId="0" xfId="0" applyNumberFormat="1" applyFont="1" applyAlignment="1" applyProtection="1">
      <alignment vertical="center" shrinkToFit="1"/>
      <protection/>
    </xf>
    <xf numFmtId="0" fontId="4" fillId="0" borderId="85" xfId="0" applyFont="1" applyBorder="1" applyAlignment="1" applyProtection="1">
      <alignment horizontal="center" vertical="center" shrinkToFit="1"/>
      <protection/>
    </xf>
    <xf numFmtId="188" fontId="4" fillId="0" borderId="86" xfId="0" applyNumberFormat="1" applyFont="1" applyBorder="1" applyAlignment="1" applyProtection="1">
      <alignment horizontal="center" vertical="center" shrinkToFit="1"/>
      <protection/>
    </xf>
    <xf numFmtId="0" fontId="4" fillId="0" borderId="28" xfId="0" applyFont="1" applyBorder="1" applyAlignment="1" applyProtection="1">
      <alignment vertical="center" shrinkToFit="1"/>
      <protection locked="0"/>
    </xf>
    <xf numFmtId="0" fontId="4" fillId="25" borderId="87" xfId="0" applyFont="1" applyFill="1" applyBorder="1" applyAlignment="1" applyProtection="1">
      <alignment horizontal="center" vertical="center" shrinkToFit="1"/>
      <protection locked="0"/>
    </xf>
    <xf numFmtId="188" fontId="4" fillId="25" borderId="88" xfId="0" applyNumberFormat="1" applyFont="1" applyFill="1" applyBorder="1" applyAlignment="1" applyProtection="1">
      <alignment horizontal="center" vertical="center" shrinkToFit="1"/>
      <protection locked="0"/>
    </xf>
    <xf numFmtId="232" fontId="6" fillId="0" borderId="10" xfId="0" applyNumberFormat="1" applyFont="1" applyFill="1" applyBorder="1" applyAlignment="1" applyProtection="1">
      <alignment vertical="center" shrinkToFit="1"/>
      <protection/>
    </xf>
    <xf numFmtId="0" fontId="5" fillId="0" borderId="89" xfId="0" applyFont="1" applyFill="1" applyBorder="1" applyAlignment="1" applyProtection="1">
      <alignment horizontal="center" vertical="center" shrinkToFit="1"/>
      <protection/>
    </xf>
    <xf numFmtId="0" fontId="0" fillId="0" borderId="0" xfId="0" applyFill="1" applyBorder="1" applyAlignment="1">
      <alignment vertical="center"/>
    </xf>
    <xf numFmtId="0" fontId="0" fillId="0" borderId="0" xfId="0" applyAlignment="1">
      <alignment horizontal="right" vertical="center"/>
    </xf>
    <xf numFmtId="0" fontId="4" fillId="0" borderId="0" xfId="0" applyFont="1" applyAlignment="1">
      <alignment/>
    </xf>
    <xf numFmtId="0" fontId="13" fillId="0" borderId="0" xfId="0" applyFont="1" applyAlignment="1">
      <alignment vertical="center"/>
    </xf>
    <xf numFmtId="0" fontId="0" fillId="0" borderId="10" xfId="0"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25" borderId="10" xfId="0" applyFill="1" applyBorder="1" applyAlignment="1">
      <alignment horizontal="center" vertical="center"/>
    </xf>
    <xf numFmtId="0" fontId="0" fillId="4" borderId="10" xfId="0" applyFill="1" applyBorder="1" applyAlignment="1">
      <alignment horizontal="center" vertical="center"/>
    </xf>
    <xf numFmtId="0" fontId="0" fillId="0" borderId="12" xfId="0" applyBorder="1" applyAlignment="1">
      <alignment vertical="center"/>
    </xf>
    <xf numFmtId="0" fontId="30" fillId="0" borderId="0" xfId="0" applyFont="1" applyAlignment="1" applyProtection="1">
      <alignment vertical="center"/>
      <protection/>
    </xf>
    <xf numFmtId="217" fontId="19" fillId="24" borderId="51" xfId="48" applyNumberFormat="1" applyFont="1" applyFill="1" applyBorder="1" applyAlignment="1" applyProtection="1">
      <alignment horizontal="left" vertical="center" shrinkToFit="1"/>
      <protection/>
    </xf>
    <xf numFmtId="182" fontId="79" fillId="0" borderId="41" xfId="0" applyNumberFormat="1" applyFont="1" applyFill="1" applyBorder="1" applyAlignment="1" applyProtection="1">
      <alignment horizontal="center" vertical="center" wrapText="1"/>
      <protection/>
    </xf>
    <xf numFmtId="202" fontId="23" fillId="27" borderId="39" xfId="0" applyNumberFormat="1" applyFont="1" applyFill="1" applyBorder="1" applyAlignment="1" applyProtection="1">
      <alignment horizontal="left" vertical="center" shrinkToFit="1"/>
      <protection/>
    </xf>
    <xf numFmtId="185" fontId="23" fillId="27" borderId="67" xfId="0" applyNumberFormat="1" applyFont="1" applyFill="1" applyBorder="1" applyAlignment="1" applyProtection="1">
      <alignment horizontal="center" vertical="center" shrinkToFit="1"/>
      <protection/>
    </xf>
    <xf numFmtId="182" fontId="23" fillId="27" borderId="57" xfId="0" applyNumberFormat="1" applyFont="1" applyFill="1" applyBorder="1" applyAlignment="1" applyProtection="1">
      <alignment horizontal="center" shrinkToFit="1"/>
      <protection/>
    </xf>
    <xf numFmtId="176" fontId="23" fillId="27" borderId="58" xfId="0" applyNumberFormat="1" applyFont="1" applyFill="1" applyBorder="1" applyAlignment="1" applyProtection="1">
      <alignment horizontal="center" shrinkToFit="1"/>
      <protection/>
    </xf>
    <xf numFmtId="9" fontId="30" fillId="27" borderId="10" xfId="0" applyNumberFormat="1" applyFont="1" applyFill="1" applyBorder="1" applyAlignment="1" applyProtection="1">
      <alignment horizontal="center" vertical="center" shrinkToFit="1"/>
      <protection/>
    </xf>
    <xf numFmtId="0" fontId="18" fillId="0" borderId="21" xfId="0" applyFont="1" applyFill="1" applyBorder="1" applyAlignment="1" applyProtection="1">
      <alignment horizontal="center" vertical="center" shrinkToFit="1"/>
      <protection locked="0"/>
    </xf>
    <xf numFmtId="0" fontId="18" fillId="0" borderId="11" xfId="0" applyFont="1" applyFill="1" applyBorder="1" applyAlignment="1" applyProtection="1">
      <alignment horizontal="center" vertical="center" shrinkToFit="1"/>
      <protection locked="0"/>
    </xf>
    <xf numFmtId="0" fontId="18" fillId="0" borderId="12"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176" fontId="8" fillId="0" borderId="12" xfId="0" applyNumberFormat="1" applyFont="1" applyBorder="1" applyAlignment="1" applyProtection="1">
      <alignment horizontal="center" vertical="center" shrinkToFit="1"/>
      <protection locked="0"/>
    </xf>
    <xf numFmtId="0" fontId="8" fillId="0" borderId="23" xfId="0" applyFont="1" applyBorder="1" applyAlignment="1" applyProtection="1">
      <alignment horizontal="center" vertical="center" shrinkToFit="1"/>
      <protection locked="0"/>
    </xf>
    <xf numFmtId="0" fontId="25" fillId="0" borderId="10" xfId="0" applyFont="1" applyBorder="1" applyAlignment="1" applyProtection="1">
      <alignment horizontal="center" wrapText="1"/>
      <protection locked="0"/>
    </xf>
    <xf numFmtId="0" fontId="25" fillId="0" borderId="21" xfId="0" applyFont="1" applyBorder="1" applyAlignment="1" applyProtection="1">
      <alignment horizontal="center" wrapText="1"/>
      <protection locked="0"/>
    </xf>
    <xf numFmtId="40" fontId="44" fillId="26" borderId="10" xfId="48" applyNumberFormat="1" applyFont="1" applyFill="1" applyBorder="1" applyAlignment="1" applyProtection="1">
      <alignment horizontal="center" vertical="center" shrinkToFit="1"/>
      <protection locked="0"/>
    </xf>
    <xf numFmtId="40" fontId="23" fillId="0" borderId="10" xfId="48" applyNumberFormat="1" applyFont="1" applyBorder="1" applyAlignment="1" applyProtection="1">
      <alignment horizontal="center" vertical="center" shrinkToFit="1"/>
      <protection locked="0"/>
    </xf>
    <xf numFmtId="40" fontId="23" fillId="0" borderId="10" xfId="48" applyNumberFormat="1" applyFont="1" applyFill="1" applyBorder="1" applyAlignment="1" applyProtection="1">
      <alignment horizontal="center" vertical="center" shrinkToFit="1"/>
      <protection locked="0"/>
    </xf>
    <xf numFmtId="40" fontId="23" fillId="0" borderId="21" xfId="48" applyNumberFormat="1" applyFont="1" applyFill="1" applyBorder="1" applyAlignment="1" applyProtection="1">
      <alignment horizontal="center" vertical="center" shrinkToFit="1"/>
      <protection locked="0"/>
    </xf>
    <xf numFmtId="40" fontId="26" fillId="0" borderId="10" xfId="48" applyNumberFormat="1" applyFont="1" applyBorder="1" applyAlignment="1" applyProtection="1">
      <alignment horizontal="center" vertical="center" shrinkToFit="1"/>
      <protection locked="0"/>
    </xf>
    <xf numFmtId="40" fontId="26" fillId="0" borderId="10" xfId="48" applyNumberFormat="1" applyFont="1" applyFill="1" applyBorder="1" applyAlignment="1" applyProtection="1">
      <alignment horizontal="center" vertical="center" shrinkToFit="1"/>
      <protection locked="0"/>
    </xf>
    <xf numFmtId="40" fontId="26" fillId="0" borderId="21" xfId="48" applyNumberFormat="1" applyFont="1" applyFill="1" applyBorder="1" applyAlignment="1" applyProtection="1">
      <alignment horizontal="center" vertical="center" shrinkToFit="1"/>
      <protection locked="0"/>
    </xf>
    <xf numFmtId="40" fontId="26" fillId="26" borderId="10" xfId="48" applyNumberFormat="1" applyFont="1" applyFill="1" applyBorder="1" applyAlignment="1" applyProtection="1">
      <alignment horizontal="center" vertical="center" shrinkToFit="1"/>
      <protection locked="0"/>
    </xf>
    <xf numFmtId="0" fontId="4" fillId="0" borderId="51" xfId="0" applyFont="1" applyBorder="1" applyAlignment="1" applyProtection="1">
      <alignment horizontal="center" shrinkToFit="1"/>
      <protection hidden="1"/>
    </xf>
    <xf numFmtId="0" fontId="4" fillId="0" borderId="52" xfId="0" applyFont="1" applyBorder="1" applyAlignment="1" applyProtection="1">
      <alignment horizontal="center" shrinkToFit="1"/>
      <protection hidden="1"/>
    </xf>
    <xf numFmtId="176" fontId="4" fillId="0" borderId="53" xfId="0" applyNumberFormat="1" applyFont="1" applyBorder="1" applyAlignment="1" applyProtection="1">
      <alignment horizontal="center" shrinkToFit="1"/>
      <protection hidden="1"/>
    </xf>
    <xf numFmtId="0" fontId="2" fillId="0" borderId="0" xfId="0" applyFont="1" applyAlignment="1" applyProtection="1">
      <alignment vertical="center" shrinkToFit="1"/>
      <protection hidden="1"/>
    </xf>
    <xf numFmtId="0" fontId="1" fillId="0" borderId="0" xfId="0" applyNumberFormat="1" applyFont="1" applyBorder="1" applyAlignment="1" applyProtection="1">
      <alignment horizontal="right" shrinkToFit="1"/>
      <protection hidden="1"/>
    </xf>
    <xf numFmtId="0" fontId="6" fillId="21" borderId="0" xfId="0" applyFont="1" applyFill="1" applyBorder="1" applyAlignment="1" applyProtection="1">
      <alignment horizontal="center" vertical="center" shrinkToFit="1"/>
      <protection hidden="1"/>
    </xf>
    <xf numFmtId="0" fontId="1" fillId="21" borderId="0" xfId="0" applyNumberFormat="1" applyFont="1" applyFill="1" applyBorder="1" applyAlignment="1" applyProtection="1">
      <alignment horizontal="right" shrinkToFit="1"/>
      <protection hidden="1"/>
    </xf>
    <xf numFmtId="0" fontId="4" fillId="0" borderId="0" xfId="0" applyFont="1" applyAlignment="1" applyProtection="1">
      <alignment vertical="center" shrinkToFit="1"/>
      <protection hidden="1"/>
    </xf>
    <xf numFmtId="0" fontId="2" fillId="21" borderId="0" xfId="0" applyFont="1" applyFill="1" applyAlignment="1" applyProtection="1">
      <alignment vertical="center" shrinkToFit="1"/>
      <protection hidden="1"/>
    </xf>
    <xf numFmtId="0" fontId="4" fillId="0" borderId="51" xfId="0" applyFont="1" applyBorder="1" applyAlignment="1" applyProtection="1">
      <alignment horizontal="center" vertical="center" shrinkToFit="1"/>
      <protection hidden="1"/>
    </xf>
    <xf numFmtId="0" fontId="6" fillId="0" borderId="54" xfId="0" applyFont="1" applyBorder="1" applyAlignment="1" applyProtection="1">
      <alignment horizontal="center" vertical="center" shrinkToFit="1"/>
      <protection hidden="1"/>
    </xf>
    <xf numFmtId="0" fontId="6" fillId="0" borderId="55" xfId="0" applyFont="1" applyBorder="1" applyAlignment="1" applyProtection="1">
      <alignment horizontal="center" vertical="center" shrinkToFit="1"/>
      <protection hidden="1"/>
    </xf>
    <xf numFmtId="0" fontId="6" fillId="0" borderId="56" xfId="0" applyFont="1" applyBorder="1" applyAlignment="1" applyProtection="1">
      <alignment horizontal="center" vertical="center" shrinkToFit="1"/>
      <protection hidden="1"/>
    </xf>
    <xf numFmtId="0" fontId="1" fillId="0" borderId="0" xfId="0" applyNumberFormat="1" applyFont="1" applyBorder="1" applyAlignment="1" applyProtection="1">
      <alignment horizontal="right" vertical="center" shrinkToFit="1"/>
      <protection hidden="1"/>
    </xf>
    <xf numFmtId="0" fontId="1" fillId="21" borderId="0" xfId="0" applyNumberFormat="1" applyFont="1" applyFill="1" applyBorder="1" applyAlignment="1" applyProtection="1">
      <alignment horizontal="right" vertical="center" shrinkToFit="1"/>
      <protection hidden="1"/>
    </xf>
    <xf numFmtId="0" fontId="4" fillId="0" borderId="54" xfId="0" applyFont="1" applyBorder="1" applyAlignment="1" applyProtection="1">
      <alignment horizontal="center" vertical="center" shrinkToFit="1"/>
      <protection hidden="1"/>
    </xf>
    <xf numFmtId="0" fontId="7" fillId="0" borderId="59" xfId="0" applyFont="1" applyFill="1" applyBorder="1" applyAlignment="1" applyProtection="1">
      <alignment horizontal="center" vertical="center" shrinkToFit="1"/>
      <protection hidden="1"/>
    </xf>
    <xf numFmtId="185" fontId="13" fillId="0" borderId="59" xfId="48" applyNumberFormat="1" applyFont="1" applyFill="1" applyBorder="1" applyAlignment="1" applyProtection="1">
      <alignment horizontal="left" shrinkToFit="1"/>
      <protection hidden="1"/>
    </xf>
    <xf numFmtId="185" fontId="13" fillId="0" borderId="60" xfId="48" applyNumberFormat="1" applyFont="1" applyFill="1" applyBorder="1" applyAlignment="1" applyProtection="1">
      <alignment horizontal="left" shrinkToFit="1"/>
      <protection hidden="1"/>
    </xf>
    <xf numFmtId="9" fontId="4" fillId="0" borderId="61" xfId="0" applyNumberFormat="1" applyFont="1" applyFill="1" applyBorder="1" applyAlignment="1" applyProtection="1">
      <alignment horizontal="left" shrinkToFit="1"/>
      <protection hidden="1"/>
    </xf>
    <xf numFmtId="0" fontId="15" fillId="0" borderId="0" xfId="0" applyNumberFormat="1" applyFont="1" applyFill="1" applyBorder="1" applyAlignment="1" applyProtection="1">
      <alignment horizontal="center" shrinkToFit="1"/>
      <protection hidden="1"/>
    </xf>
    <xf numFmtId="0" fontId="15" fillId="21" borderId="0" xfId="0" applyFont="1" applyFill="1" applyBorder="1" applyAlignment="1" applyProtection="1">
      <alignment horizontal="center" shrinkToFit="1"/>
      <protection hidden="1"/>
    </xf>
    <xf numFmtId="0" fontId="18" fillId="0" borderId="0" xfId="0" applyFont="1" applyFill="1" applyAlignment="1" applyProtection="1">
      <alignment horizontal="center" vertical="center" shrinkToFit="1"/>
      <protection hidden="1"/>
    </xf>
    <xf numFmtId="0" fontId="7" fillId="0" borderId="62" xfId="0" applyFont="1" applyFill="1" applyBorder="1" applyAlignment="1" applyProtection="1">
      <alignment horizontal="center" vertical="center" shrinkToFit="1"/>
      <protection hidden="1"/>
    </xf>
    <xf numFmtId="185" fontId="13" fillId="0" borderId="62" xfId="48" applyNumberFormat="1" applyFont="1" applyFill="1" applyBorder="1" applyAlignment="1" applyProtection="1">
      <alignment horizontal="left" shrinkToFit="1"/>
      <protection hidden="1"/>
    </xf>
    <xf numFmtId="185" fontId="13" fillId="0" borderId="63" xfId="48" applyNumberFormat="1" applyFont="1" applyFill="1" applyBorder="1" applyAlignment="1" applyProtection="1">
      <alignment horizontal="left" shrinkToFit="1"/>
      <protection hidden="1"/>
    </xf>
    <xf numFmtId="9" fontId="4" fillId="0" borderId="64" xfId="0" applyNumberFormat="1" applyFont="1" applyFill="1" applyBorder="1" applyAlignment="1" applyProtection="1">
      <alignment horizontal="left" shrinkToFit="1"/>
      <protection hidden="1"/>
    </xf>
    <xf numFmtId="0" fontId="4" fillId="0" borderId="65" xfId="0" applyFont="1" applyBorder="1" applyAlignment="1" applyProtection="1">
      <alignment horizontal="center" vertical="center" wrapText="1"/>
      <protection hidden="1"/>
    </xf>
    <xf numFmtId="185" fontId="17" fillId="0" borderId="65" xfId="48" applyNumberFormat="1" applyFont="1" applyBorder="1" applyAlignment="1" applyProtection="1">
      <alignment shrinkToFit="1"/>
      <protection hidden="1"/>
    </xf>
    <xf numFmtId="185" fontId="17" fillId="0" borderId="66" xfId="48" applyNumberFormat="1" applyFont="1" applyBorder="1" applyAlignment="1" applyProtection="1">
      <alignment shrinkToFit="1"/>
      <protection hidden="1"/>
    </xf>
    <xf numFmtId="9" fontId="13" fillId="0" borderId="67" xfId="0" applyNumberFormat="1" applyFont="1" applyBorder="1" applyAlignment="1" applyProtection="1">
      <alignment horizontal="center" shrinkToFit="1"/>
      <protection hidden="1"/>
    </xf>
    <xf numFmtId="185" fontId="17" fillId="0" borderId="65" xfId="48" applyNumberFormat="1" applyFont="1" applyBorder="1" applyAlignment="1" applyProtection="1">
      <alignment horizontal="center"/>
      <protection hidden="1"/>
    </xf>
    <xf numFmtId="0" fontId="15" fillId="21" borderId="0" xfId="0" applyNumberFormat="1" applyFont="1" applyFill="1" applyBorder="1" applyAlignment="1" applyProtection="1">
      <alignment horizontal="right" shrinkToFit="1"/>
      <protection hidden="1"/>
    </xf>
    <xf numFmtId="0" fontId="8" fillId="0" borderId="0" xfId="0" applyFont="1" applyAlignment="1" applyProtection="1">
      <alignment vertical="center" shrinkToFit="1"/>
      <protection hidden="1"/>
    </xf>
    <xf numFmtId="9" fontId="17" fillId="0" borderId="67" xfId="0" applyNumberFormat="1" applyFont="1" applyBorder="1" applyAlignment="1" applyProtection="1">
      <alignment horizontal="center" shrinkToFit="1"/>
      <protection hidden="1"/>
    </xf>
    <xf numFmtId="0" fontId="4" fillId="0" borderId="65" xfId="0" applyFont="1" applyBorder="1" applyAlignment="1" applyProtection="1">
      <alignment horizontal="center" vertical="center" shrinkToFit="1"/>
      <protection hidden="1"/>
    </xf>
    <xf numFmtId="185" fontId="17" fillId="0" borderId="68" xfId="48" applyNumberFormat="1" applyFont="1" applyBorder="1" applyAlignment="1" applyProtection="1">
      <alignment shrinkToFit="1"/>
      <protection hidden="1"/>
    </xf>
    <xf numFmtId="9" fontId="17" fillId="0" borderId="69" xfId="0" applyNumberFormat="1" applyFont="1" applyBorder="1" applyAlignment="1" applyProtection="1">
      <alignment horizontal="center" shrinkToFit="1"/>
      <protection hidden="1"/>
    </xf>
    <xf numFmtId="185" fontId="17" fillId="0" borderId="65" xfId="48" applyNumberFormat="1" applyFont="1" applyBorder="1" applyAlignment="1" applyProtection="1">
      <alignment horizontal="center" shrinkToFit="1"/>
      <protection hidden="1"/>
    </xf>
    <xf numFmtId="0" fontId="6" fillId="0" borderId="70" xfId="0" applyFont="1" applyBorder="1" applyAlignment="1" applyProtection="1">
      <alignment horizontal="center" vertical="center" wrapText="1"/>
      <protection hidden="1"/>
    </xf>
    <xf numFmtId="185" fontId="17" fillId="0" borderId="40" xfId="48" applyNumberFormat="1" applyFont="1" applyBorder="1" applyAlignment="1" applyProtection="1">
      <alignment horizontal="right" shrinkToFit="1"/>
      <protection hidden="1"/>
    </xf>
    <xf numFmtId="185" fontId="17" fillId="0" borderId="71" xfId="48" applyNumberFormat="1" applyFont="1" applyBorder="1" applyAlignment="1" applyProtection="1">
      <alignment horizontal="right" shrinkToFit="1"/>
      <protection hidden="1"/>
    </xf>
    <xf numFmtId="9" fontId="4" fillId="0" borderId="40" xfId="0" applyNumberFormat="1" applyFont="1" applyBorder="1" applyAlignment="1" applyProtection="1">
      <alignment horizontal="center" shrinkToFit="1"/>
      <protection hidden="1"/>
    </xf>
    <xf numFmtId="185" fontId="17" fillId="0" borderId="70" xfId="48" applyNumberFormat="1" applyFont="1" applyBorder="1" applyAlignment="1" applyProtection="1">
      <alignment horizontal="center"/>
      <protection hidden="1"/>
    </xf>
    <xf numFmtId="9" fontId="11" fillId="0" borderId="40" xfId="0" applyNumberFormat="1" applyFont="1" applyBorder="1" applyAlignment="1" applyProtection="1">
      <alignment horizontal="center" shrinkToFit="1"/>
      <protection hidden="1"/>
    </xf>
    <xf numFmtId="0" fontId="6" fillId="0" borderId="70" xfId="0" applyFont="1" applyBorder="1" applyAlignment="1" applyProtection="1">
      <alignment horizontal="center" vertical="center" shrinkToFit="1"/>
      <protection hidden="1"/>
    </xf>
    <xf numFmtId="185" fontId="17" fillId="0" borderId="70" xfId="48" applyNumberFormat="1" applyFont="1" applyBorder="1" applyAlignment="1" applyProtection="1">
      <alignment shrinkToFit="1"/>
      <protection hidden="1"/>
    </xf>
    <xf numFmtId="185" fontId="17" fillId="0" borderId="72" xfId="48" applyNumberFormat="1" applyFont="1" applyBorder="1" applyAlignment="1" applyProtection="1">
      <alignment shrinkToFit="1"/>
      <protection hidden="1"/>
    </xf>
    <xf numFmtId="9" fontId="11" fillId="0" borderId="73" xfId="0" applyNumberFormat="1" applyFont="1" applyBorder="1" applyAlignment="1" applyProtection="1">
      <alignment horizontal="center" shrinkToFit="1"/>
      <protection hidden="1"/>
    </xf>
    <xf numFmtId="185" fontId="17" fillId="0" borderId="70" xfId="48" applyNumberFormat="1" applyFont="1" applyBorder="1" applyAlignment="1" applyProtection="1">
      <alignment horizontal="center" shrinkToFit="1"/>
      <protection hidden="1"/>
    </xf>
    <xf numFmtId="0" fontId="4" fillId="0" borderId="74" xfId="0" applyFont="1" applyBorder="1" applyAlignment="1" applyProtection="1">
      <alignment horizontal="center" vertical="center" wrapText="1"/>
      <protection hidden="1"/>
    </xf>
    <xf numFmtId="185" fontId="17" fillId="10" borderId="74" xfId="48" applyNumberFormat="1" applyFont="1" applyFill="1" applyBorder="1" applyAlignment="1" applyProtection="1">
      <alignment shrinkToFit="1"/>
      <protection hidden="1"/>
    </xf>
    <xf numFmtId="185" fontId="17" fillId="0" borderId="74" xfId="48" applyNumberFormat="1" applyFont="1" applyFill="1" applyBorder="1" applyAlignment="1" applyProtection="1">
      <alignment shrinkToFit="1"/>
      <protection hidden="1"/>
    </xf>
    <xf numFmtId="185" fontId="17" fillId="0" borderId="47" xfId="48" applyNumberFormat="1" applyFont="1" applyBorder="1" applyAlignment="1" applyProtection="1">
      <alignment shrinkToFit="1"/>
      <protection hidden="1"/>
    </xf>
    <xf numFmtId="9" fontId="13" fillId="0" borderId="43" xfId="0" applyNumberFormat="1" applyFont="1" applyBorder="1" applyAlignment="1" applyProtection="1">
      <alignment horizontal="center" shrinkToFit="1"/>
      <protection hidden="1"/>
    </xf>
    <xf numFmtId="185" fontId="17" fillId="0" borderId="74" xfId="48" applyNumberFormat="1" applyFont="1" applyFill="1" applyBorder="1" applyAlignment="1" applyProtection="1">
      <alignment horizontal="center"/>
      <protection hidden="1"/>
    </xf>
    <xf numFmtId="0" fontId="4" fillId="0" borderId="74" xfId="0" applyFont="1" applyBorder="1" applyAlignment="1" applyProtection="1">
      <alignment horizontal="center" vertical="center" shrinkToFit="1"/>
      <protection hidden="1"/>
    </xf>
    <xf numFmtId="185" fontId="17" fillId="0" borderId="74" xfId="48" applyNumberFormat="1" applyFont="1" applyBorder="1" applyAlignment="1" applyProtection="1">
      <alignment shrinkToFit="1"/>
      <protection hidden="1"/>
    </xf>
    <xf numFmtId="185" fontId="17" fillId="0" borderId="75" xfId="48" applyNumberFormat="1" applyFont="1" applyBorder="1" applyAlignment="1" applyProtection="1">
      <alignment shrinkToFit="1"/>
      <protection hidden="1"/>
    </xf>
    <xf numFmtId="9" fontId="11" fillId="0" borderId="76" xfId="0" applyNumberFormat="1" applyFont="1" applyBorder="1" applyAlignment="1" applyProtection="1">
      <alignment horizontal="center" shrinkToFit="1"/>
      <protection hidden="1"/>
    </xf>
    <xf numFmtId="185" fontId="17" fillId="0" borderId="74" xfId="48" applyNumberFormat="1" applyFont="1" applyBorder="1" applyAlignment="1" applyProtection="1">
      <alignment horizontal="center" shrinkToFit="1"/>
      <protection hidden="1"/>
    </xf>
    <xf numFmtId="219" fontId="21" fillId="24" borderId="51" xfId="48" applyNumberFormat="1" applyFont="1" applyFill="1" applyBorder="1" applyAlignment="1" applyProtection="1">
      <alignment horizontal="left" vertical="center" shrinkToFit="1"/>
      <protection hidden="1"/>
    </xf>
    <xf numFmtId="220" fontId="21" fillId="24" borderId="52" xfId="48" applyNumberFormat="1" applyFont="1" applyFill="1" applyBorder="1" applyAlignment="1" applyProtection="1">
      <alignment horizontal="center" vertical="center" shrinkToFit="1"/>
      <protection hidden="1"/>
    </xf>
    <xf numFmtId="221" fontId="21" fillId="0" borderId="53" xfId="0" applyNumberFormat="1" applyFont="1" applyBorder="1" applyAlignment="1" applyProtection="1">
      <alignment horizontal="left" vertical="center" shrinkToFit="1"/>
      <protection hidden="1"/>
    </xf>
    <xf numFmtId="217" fontId="19" fillId="24" borderId="51" xfId="48" applyNumberFormat="1" applyFont="1" applyFill="1" applyBorder="1" applyAlignment="1" applyProtection="1">
      <alignment horizontal="left" vertical="center"/>
      <protection hidden="1"/>
    </xf>
    <xf numFmtId="230" fontId="21" fillId="0" borderId="53" xfId="0" applyNumberFormat="1" applyFont="1" applyBorder="1" applyAlignment="1" applyProtection="1">
      <alignment horizontal="left" vertical="center" shrinkToFit="1"/>
      <protection hidden="1"/>
    </xf>
    <xf numFmtId="217" fontId="19" fillId="24" borderId="51" xfId="48" applyNumberFormat="1" applyFont="1" applyFill="1" applyBorder="1" applyAlignment="1" applyProtection="1">
      <alignment horizontal="left" vertical="center" shrinkToFit="1"/>
      <protection hidden="1"/>
    </xf>
    <xf numFmtId="182" fontId="21" fillId="24" borderId="77" xfId="48" applyNumberFormat="1" applyFont="1" applyFill="1" applyBorder="1" applyAlignment="1" applyProtection="1">
      <alignment horizontal="right" vertical="center" shrinkToFit="1"/>
      <protection hidden="1"/>
    </xf>
    <xf numFmtId="176" fontId="21" fillId="24" borderId="78" xfId="48" applyNumberFormat="1" applyFont="1" applyFill="1" applyBorder="1" applyAlignment="1" applyProtection="1">
      <alignment horizontal="right" vertical="center" shrinkToFit="1"/>
      <protection hidden="1"/>
    </xf>
    <xf numFmtId="184" fontId="21" fillId="0" borderId="79" xfId="0" applyNumberFormat="1" applyFont="1" applyBorder="1" applyAlignment="1" applyProtection="1">
      <alignment horizontal="right" vertical="center" shrinkToFit="1"/>
      <protection hidden="1"/>
    </xf>
    <xf numFmtId="218" fontId="19" fillId="24" borderId="77" xfId="48" applyNumberFormat="1" applyFont="1" applyFill="1" applyBorder="1" applyAlignment="1" applyProtection="1">
      <alignment horizontal="right" vertical="center"/>
      <protection hidden="1"/>
    </xf>
    <xf numFmtId="230" fontId="21" fillId="0" borderId="79" xfId="0" applyNumberFormat="1" applyFont="1" applyBorder="1" applyAlignment="1" applyProtection="1">
      <alignment horizontal="right" vertical="center" shrinkToFit="1"/>
      <protection hidden="1"/>
    </xf>
    <xf numFmtId="0" fontId="4" fillId="0" borderId="0" xfId="0" applyFont="1" applyBorder="1" applyAlignment="1" applyProtection="1">
      <alignment vertical="center" shrinkToFit="1"/>
      <protection hidden="1"/>
    </xf>
    <xf numFmtId="0" fontId="4" fillId="0" borderId="0" xfId="0" applyFont="1" applyBorder="1" applyAlignment="1" applyProtection="1">
      <alignment shrinkToFit="1"/>
      <protection hidden="1"/>
    </xf>
    <xf numFmtId="176" fontId="4" fillId="0" borderId="0" xfId="0" applyNumberFormat="1" applyFont="1" applyBorder="1" applyAlignment="1" applyProtection="1">
      <alignment shrinkToFit="1"/>
      <protection hidden="1"/>
    </xf>
    <xf numFmtId="0" fontId="6" fillId="0" borderId="0" xfId="0" applyFont="1" applyBorder="1" applyAlignment="1" applyProtection="1">
      <alignment horizontal="center" shrinkToFit="1"/>
      <protection hidden="1"/>
    </xf>
    <xf numFmtId="176" fontId="6" fillId="21" borderId="0" xfId="0" applyNumberFormat="1" applyFont="1" applyFill="1" applyBorder="1" applyAlignment="1" applyProtection="1">
      <alignment horizontal="right" shrinkToFit="1"/>
      <protection hidden="1"/>
    </xf>
    <xf numFmtId="179" fontId="6" fillId="21" borderId="0" xfId="0" applyNumberFormat="1" applyFont="1" applyFill="1" applyBorder="1" applyAlignment="1" applyProtection="1">
      <alignment shrinkToFit="1"/>
      <protection hidden="1"/>
    </xf>
    <xf numFmtId="0" fontId="4" fillId="0" borderId="32" xfId="0" applyFont="1" applyBorder="1" applyAlignment="1" applyProtection="1">
      <alignment horizontal="center" vertical="center" shrinkToFit="1"/>
      <protection hidden="1"/>
    </xf>
    <xf numFmtId="0" fontId="6" fillId="0" borderId="80" xfId="0" applyFont="1" applyBorder="1" applyAlignment="1" applyProtection="1">
      <alignment horizontal="center" vertical="center" shrinkToFit="1"/>
      <protection hidden="1"/>
    </xf>
    <xf numFmtId="0" fontId="6" fillId="0" borderId="81" xfId="0" applyFont="1" applyBorder="1" applyAlignment="1" applyProtection="1">
      <alignment horizontal="center" vertical="center" shrinkToFit="1"/>
      <protection hidden="1"/>
    </xf>
    <xf numFmtId="176" fontId="6" fillId="0" borderId="80" xfId="0" applyNumberFormat="1" applyFont="1" applyBorder="1" applyAlignment="1" applyProtection="1">
      <alignment horizontal="center" vertical="center" shrinkToFit="1"/>
      <protection hidden="1"/>
    </xf>
    <xf numFmtId="0" fontId="6" fillId="21" borderId="0" xfId="0" applyFont="1" applyFill="1" applyBorder="1" applyAlignment="1" applyProtection="1">
      <alignment vertical="center" shrinkToFit="1"/>
      <protection hidden="1"/>
    </xf>
    <xf numFmtId="0" fontId="4" fillId="0" borderId="82" xfId="0" applyFont="1" applyBorder="1" applyAlignment="1" applyProtection="1">
      <alignment horizontal="center" vertical="center" shrinkToFit="1"/>
      <protection hidden="1"/>
    </xf>
    <xf numFmtId="38" fontId="13" fillId="0" borderId="60" xfId="48" applyFont="1" applyFill="1" applyBorder="1" applyAlignment="1" applyProtection="1">
      <alignment horizontal="left"/>
      <protection hidden="1"/>
    </xf>
    <xf numFmtId="184" fontId="13" fillId="0" borderId="61" xfId="0" applyNumberFormat="1" applyFont="1" applyFill="1" applyBorder="1" applyAlignment="1" applyProtection="1">
      <alignment horizontal="left" shrinkToFit="1"/>
      <protection hidden="1"/>
    </xf>
    <xf numFmtId="40" fontId="13" fillId="0" borderId="59" xfId="48" applyNumberFormat="1" applyFont="1" applyFill="1" applyBorder="1" applyAlignment="1" applyProtection="1">
      <alignment horizontal="left" shrinkToFit="1"/>
      <protection hidden="1"/>
    </xf>
    <xf numFmtId="38" fontId="13" fillId="0" borderId="60" xfId="48" applyNumberFormat="1" applyFont="1" applyFill="1" applyBorder="1" applyAlignment="1" applyProtection="1">
      <alignment horizontal="left" shrinkToFit="1"/>
      <protection hidden="1"/>
    </xf>
    <xf numFmtId="0" fontId="1" fillId="0" borderId="0" xfId="0" applyNumberFormat="1" applyFont="1" applyFill="1" applyBorder="1" applyAlignment="1" applyProtection="1">
      <alignment horizontal="right" shrinkToFit="1"/>
      <protection hidden="1"/>
    </xf>
    <xf numFmtId="181" fontId="15" fillId="21" borderId="0" xfId="0" applyNumberFormat="1" applyFont="1" applyFill="1" applyBorder="1" applyAlignment="1" applyProtection="1">
      <alignment horizontal="right" shrinkToFit="1"/>
      <protection hidden="1"/>
    </xf>
    <xf numFmtId="0" fontId="4" fillId="0" borderId="0" xfId="0" applyFont="1" applyFill="1" applyAlignment="1" applyProtection="1">
      <alignment shrinkToFit="1"/>
      <protection hidden="1"/>
    </xf>
    <xf numFmtId="38" fontId="13" fillId="0" borderId="60" xfId="48" applyFont="1" applyFill="1" applyBorder="1" applyAlignment="1" applyProtection="1">
      <alignment horizontal="left" shrinkToFit="1"/>
      <protection hidden="1"/>
    </xf>
    <xf numFmtId="38" fontId="13" fillId="0" borderId="63" xfId="48" applyFont="1" applyFill="1" applyBorder="1" applyAlignment="1" applyProtection="1">
      <alignment horizontal="left" shrinkToFit="1"/>
      <protection hidden="1"/>
    </xf>
    <xf numFmtId="184" fontId="13" fillId="0" borderId="64" xfId="0" applyNumberFormat="1" applyFont="1" applyFill="1" applyBorder="1" applyAlignment="1" applyProtection="1">
      <alignment horizontal="left" shrinkToFit="1"/>
      <protection hidden="1"/>
    </xf>
    <xf numFmtId="40" fontId="13" fillId="0" borderId="83" xfId="48" applyNumberFormat="1" applyFont="1" applyFill="1" applyBorder="1" applyAlignment="1" applyProtection="1">
      <alignment horizontal="left" shrinkToFit="1"/>
      <protection hidden="1"/>
    </xf>
    <xf numFmtId="38" fontId="13" fillId="0" borderId="63" xfId="48" applyNumberFormat="1" applyFont="1" applyFill="1" applyBorder="1" applyAlignment="1" applyProtection="1">
      <alignment horizontal="left" shrinkToFit="1"/>
      <protection hidden="1"/>
    </xf>
    <xf numFmtId="181" fontId="16" fillId="21" borderId="0" xfId="0" applyNumberFormat="1" applyFont="1" applyFill="1" applyBorder="1" applyAlignment="1" applyProtection="1">
      <alignment horizontal="right" shrinkToFit="1"/>
      <protection hidden="1"/>
    </xf>
    <xf numFmtId="0" fontId="8" fillId="0" borderId="0" xfId="0" applyFont="1" applyFill="1" applyAlignment="1" applyProtection="1">
      <alignment shrinkToFit="1"/>
      <protection hidden="1"/>
    </xf>
    <xf numFmtId="38" fontId="17" fillId="0" borderId="66" xfId="48" applyFont="1" applyBorder="1" applyAlignment="1" applyProtection="1">
      <alignment horizontal="right" shrinkToFit="1"/>
      <protection hidden="1"/>
    </xf>
    <xf numFmtId="184" fontId="13" fillId="0" borderId="67" xfId="0" applyNumberFormat="1" applyFont="1" applyBorder="1" applyAlignment="1" applyProtection="1">
      <alignment horizontal="right" shrinkToFit="1"/>
      <protection hidden="1"/>
    </xf>
    <xf numFmtId="40" fontId="17" fillId="0" borderId="65" xfId="48" applyNumberFormat="1" applyFont="1" applyBorder="1" applyAlignment="1" applyProtection="1">
      <alignment horizontal="center" shrinkToFit="1"/>
      <protection hidden="1"/>
    </xf>
    <xf numFmtId="38" fontId="17" fillId="0" borderId="66" xfId="48" applyNumberFormat="1" applyFont="1" applyBorder="1" applyAlignment="1" applyProtection="1">
      <alignment horizontal="right" shrinkToFit="1"/>
      <protection hidden="1"/>
    </xf>
    <xf numFmtId="38" fontId="17" fillId="0" borderId="68" xfId="48" applyFont="1" applyBorder="1" applyAlignment="1" applyProtection="1">
      <alignment horizontal="right" shrinkToFit="1"/>
      <protection hidden="1"/>
    </xf>
    <xf numFmtId="184" fontId="17" fillId="0" borderId="69" xfId="0" applyNumberFormat="1" applyFont="1" applyBorder="1" applyAlignment="1" applyProtection="1">
      <alignment horizontal="right" shrinkToFit="1"/>
      <protection hidden="1"/>
    </xf>
    <xf numFmtId="185" fontId="17" fillId="0" borderId="68" xfId="48" applyNumberFormat="1" applyFont="1" applyFill="1" applyBorder="1" applyAlignment="1" applyProtection="1">
      <alignment shrinkToFit="1"/>
      <protection hidden="1"/>
    </xf>
    <xf numFmtId="38" fontId="17" fillId="0" borderId="68" xfId="48" applyNumberFormat="1" applyFont="1" applyBorder="1" applyAlignment="1" applyProtection="1">
      <alignment horizontal="right" shrinkToFit="1"/>
      <protection hidden="1"/>
    </xf>
    <xf numFmtId="38" fontId="17" fillId="0" borderId="71" xfId="48" applyFont="1" applyBorder="1" applyAlignment="1" applyProtection="1">
      <alignment horizontal="right" shrinkToFit="1"/>
      <protection hidden="1"/>
    </xf>
    <xf numFmtId="184" fontId="13" fillId="0" borderId="40" xfId="0" applyNumberFormat="1" applyFont="1" applyBorder="1" applyAlignment="1" applyProtection="1">
      <alignment horizontal="right" shrinkToFit="1"/>
      <protection hidden="1"/>
    </xf>
    <xf numFmtId="40" fontId="17" fillId="0" borderId="70" xfId="48" applyNumberFormat="1" applyFont="1" applyBorder="1" applyAlignment="1" applyProtection="1">
      <alignment horizontal="center" shrinkToFit="1"/>
      <protection hidden="1"/>
    </xf>
    <xf numFmtId="38" fontId="17" fillId="0" borderId="71" xfId="48" applyNumberFormat="1" applyFont="1" applyBorder="1" applyAlignment="1" applyProtection="1">
      <alignment horizontal="right" shrinkToFit="1"/>
      <protection hidden="1"/>
    </xf>
    <xf numFmtId="0" fontId="14" fillId="0" borderId="0" xfId="0" applyFont="1" applyBorder="1" applyAlignment="1" applyProtection="1">
      <alignment horizontal="center" shrinkToFit="1"/>
      <protection hidden="1"/>
    </xf>
    <xf numFmtId="38" fontId="17" fillId="0" borderId="72" xfId="48" applyFont="1" applyBorder="1" applyAlignment="1" applyProtection="1">
      <alignment horizontal="right" shrinkToFit="1"/>
      <protection hidden="1"/>
    </xf>
    <xf numFmtId="184" fontId="17" fillId="0" borderId="73" xfId="0" applyNumberFormat="1" applyFont="1" applyBorder="1" applyAlignment="1" applyProtection="1">
      <alignment horizontal="right" shrinkToFit="1"/>
      <protection hidden="1"/>
    </xf>
    <xf numFmtId="185" fontId="17" fillId="0" borderId="72" xfId="48" applyNumberFormat="1" applyFont="1" applyBorder="1" applyAlignment="1" applyProtection="1">
      <alignment horizontal="right" shrinkToFit="1"/>
      <protection hidden="1"/>
    </xf>
    <xf numFmtId="38" fontId="17" fillId="0" borderId="72" xfId="48" applyNumberFormat="1" applyFont="1" applyBorder="1" applyAlignment="1" applyProtection="1">
      <alignment horizontal="right" shrinkToFit="1"/>
      <protection hidden="1"/>
    </xf>
    <xf numFmtId="38" fontId="17" fillId="0" borderId="47" xfId="48" applyFont="1" applyFill="1" applyBorder="1" applyAlignment="1" applyProtection="1">
      <alignment horizontal="right" shrinkToFit="1"/>
      <protection hidden="1"/>
    </xf>
    <xf numFmtId="184" fontId="13" fillId="0" borderId="43" xfId="42" applyNumberFormat="1" applyFont="1" applyFill="1" applyBorder="1" applyAlignment="1" applyProtection="1">
      <alignment horizontal="right" shrinkToFit="1"/>
      <protection hidden="1"/>
    </xf>
    <xf numFmtId="185" fontId="17" fillId="0" borderId="47" xfId="48" applyNumberFormat="1" applyFont="1" applyBorder="1" applyAlignment="1" applyProtection="1">
      <alignment horizontal="right" shrinkToFit="1"/>
      <protection hidden="1"/>
    </xf>
    <xf numFmtId="40" fontId="17" fillId="0" borderId="74" xfId="48" applyNumberFormat="1" applyFont="1" applyBorder="1" applyAlignment="1" applyProtection="1">
      <alignment horizontal="center" shrinkToFit="1"/>
      <protection hidden="1"/>
    </xf>
    <xf numFmtId="38" fontId="17" fillId="0" borderId="47" xfId="48" applyFont="1" applyBorder="1" applyAlignment="1" applyProtection="1">
      <alignment horizontal="right" shrinkToFit="1"/>
      <protection hidden="1"/>
    </xf>
    <xf numFmtId="38" fontId="17" fillId="0" borderId="75" xfId="48" applyFont="1" applyFill="1" applyBorder="1" applyAlignment="1" applyProtection="1">
      <alignment horizontal="right" shrinkToFit="1"/>
      <protection hidden="1"/>
    </xf>
    <xf numFmtId="184" fontId="17" fillId="0" borderId="76" xfId="42" applyNumberFormat="1" applyFont="1" applyFill="1" applyBorder="1" applyAlignment="1" applyProtection="1">
      <alignment horizontal="right" shrinkToFit="1"/>
      <protection hidden="1"/>
    </xf>
    <xf numFmtId="185" fontId="17" fillId="0" borderId="75" xfId="48" applyNumberFormat="1" applyFont="1" applyBorder="1" applyAlignment="1" applyProtection="1">
      <alignment horizontal="right" shrinkToFit="1"/>
      <protection hidden="1"/>
    </xf>
    <xf numFmtId="184" fontId="17" fillId="0" borderId="43" xfId="42" applyNumberFormat="1" applyFont="1" applyFill="1" applyBorder="1" applyAlignment="1" applyProtection="1">
      <alignment horizontal="right" shrinkToFit="1"/>
      <protection hidden="1"/>
    </xf>
    <xf numFmtId="198" fontId="15" fillId="24" borderId="48" xfId="48" applyNumberFormat="1" applyFont="1" applyFill="1" applyBorder="1" applyAlignment="1" applyProtection="1">
      <alignment horizontal="left" vertical="center" shrinkToFit="1"/>
      <protection hidden="1"/>
    </xf>
    <xf numFmtId="200" fontId="15" fillId="24" borderId="48" xfId="48" applyNumberFormat="1" applyFont="1" applyFill="1" applyBorder="1" applyAlignment="1" applyProtection="1">
      <alignment horizontal="left" vertical="center" shrinkToFit="1"/>
      <protection hidden="1"/>
    </xf>
    <xf numFmtId="216" fontId="21" fillId="24" borderId="51" xfId="48" applyNumberFormat="1" applyFont="1" applyFill="1" applyBorder="1" applyAlignment="1" applyProtection="1">
      <alignment horizontal="left" vertical="center" shrinkToFit="1"/>
      <protection hidden="1"/>
    </xf>
    <xf numFmtId="201" fontId="15" fillId="0" borderId="48" xfId="48" applyNumberFormat="1" applyFont="1" applyFill="1" applyBorder="1" applyAlignment="1" applyProtection="1">
      <alignment horizontal="left" vertical="center" shrinkToFit="1"/>
      <protection hidden="1"/>
    </xf>
    <xf numFmtId="198" fontId="15" fillId="24" borderId="52" xfId="48" applyNumberFormat="1" applyFont="1" applyFill="1" applyBorder="1" applyAlignment="1" applyProtection="1">
      <alignment horizontal="left" vertical="center" shrinkToFit="1"/>
      <protection hidden="1"/>
    </xf>
    <xf numFmtId="200" fontId="15" fillId="24" borderId="52" xfId="48" applyNumberFormat="1" applyFont="1" applyFill="1" applyBorder="1" applyAlignment="1" applyProtection="1">
      <alignment horizontal="left" vertical="center" shrinkToFit="1"/>
      <protection hidden="1"/>
    </xf>
    <xf numFmtId="183" fontId="20" fillId="24" borderId="84" xfId="48" applyNumberFormat="1" applyFont="1" applyFill="1" applyBorder="1" applyAlignment="1" applyProtection="1">
      <alignment horizontal="right" vertical="center" shrinkToFit="1"/>
      <protection hidden="1"/>
    </xf>
    <xf numFmtId="199" fontId="15" fillId="24" borderId="84" xfId="0" applyNumberFormat="1" applyFont="1" applyFill="1" applyBorder="1" applyAlignment="1" applyProtection="1">
      <alignment horizontal="right" vertical="center" wrapText="1" shrinkToFit="1"/>
      <protection hidden="1"/>
    </xf>
    <xf numFmtId="0" fontId="21" fillId="24" borderId="77" xfId="48" applyNumberFormat="1" applyFont="1" applyFill="1" applyBorder="1" applyAlignment="1" applyProtection="1">
      <alignment horizontal="center" vertical="center" shrinkToFit="1"/>
      <protection hidden="1"/>
    </xf>
    <xf numFmtId="202" fontId="15" fillId="0" borderId="84" xfId="0" applyNumberFormat="1" applyFont="1" applyFill="1" applyBorder="1" applyAlignment="1" applyProtection="1">
      <alignment horizontal="right" vertical="center" wrapText="1" shrinkToFit="1"/>
      <protection hidden="1"/>
    </xf>
    <xf numFmtId="0" fontId="3" fillId="0" borderId="0" xfId="0" applyFont="1" applyAlignment="1" applyProtection="1">
      <alignment horizontal="center" vertical="center" shrinkToFit="1"/>
      <protection hidden="1"/>
    </xf>
    <xf numFmtId="0" fontId="3" fillId="21" borderId="0" xfId="0" applyFont="1" applyFill="1" applyAlignment="1" applyProtection="1">
      <alignment horizontal="center" vertical="center" shrinkToFit="1"/>
      <protection hidden="1"/>
    </xf>
    <xf numFmtId="0" fontId="6" fillId="21" borderId="0" xfId="0" applyFont="1" applyFill="1" applyAlignment="1" applyProtection="1">
      <alignment horizontal="center" vertical="center" shrinkToFit="1"/>
      <protection hidden="1"/>
    </xf>
    <xf numFmtId="183" fontId="20" fillId="24" borderId="78" xfId="48" applyNumberFormat="1" applyFont="1" applyFill="1" applyBorder="1" applyAlignment="1" applyProtection="1">
      <alignment horizontal="right" vertical="center" shrinkToFit="1"/>
      <protection hidden="1"/>
    </xf>
    <xf numFmtId="199" fontId="15" fillId="24" borderId="78" xfId="0" applyNumberFormat="1" applyFont="1" applyFill="1" applyBorder="1" applyAlignment="1" applyProtection="1">
      <alignment horizontal="right" vertical="center" wrapText="1" shrinkToFit="1"/>
      <protection hidden="1"/>
    </xf>
    <xf numFmtId="0" fontId="7" fillId="0" borderId="0" xfId="0" applyFont="1" applyBorder="1" applyAlignment="1" applyProtection="1">
      <alignment horizontal="center" vertical="center" wrapText="1"/>
      <protection hidden="1"/>
    </xf>
    <xf numFmtId="0" fontId="7" fillId="21"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10" fillId="0" borderId="0" xfId="0" applyFont="1" applyAlignment="1" applyProtection="1">
      <alignment vertical="center" shrinkToFit="1"/>
      <protection hidden="1"/>
    </xf>
    <xf numFmtId="0" fontId="2" fillId="0" borderId="0" xfId="0" applyFont="1" applyAlignment="1" applyProtection="1">
      <alignment horizontal="right" vertical="center" shrinkToFit="1"/>
      <protection hidden="1"/>
    </xf>
    <xf numFmtId="0" fontId="2" fillId="24" borderId="10" xfId="0" applyFont="1" applyFill="1" applyBorder="1" applyAlignment="1" applyProtection="1">
      <alignment horizontal="center" vertical="center" shrinkToFit="1"/>
      <protection hidden="1"/>
    </xf>
    <xf numFmtId="0" fontId="2" fillId="10" borderId="0" xfId="0" applyFont="1" applyFill="1" applyAlignment="1" applyProtection="1">
      <alignment horizontal="center" vertical="center"/>
      <protection hidden="1"/>
    </xf>
    <xf numFmtId="0" fontId="2" fillId="0" borderId="0" xfId="0" applyFont="1" applyAlignment="1" applyProtection="1">
      <alignment vertical="center"/>
      <protection hidden="1"/>
    </xf>
    <xf numFmtId="176" fontId="23" fillId="27" borderId="57" xfId="0" applyNumberFormat="1" applyFont="1" applyFill="1" applyBorder="1" applyAlignment="1" applyProtection="1">
      <alignment horizontal="center" shrinkToFit="1"/>
      <protection/>
    </xf>
    <xf numFmtId="0" fontId="0" fillId="21" borderId="10" xfId="0" applyFont="1" applyFill="1" applyBorder="1" applyAlignment="1" applyProtection="1">
      <alignment horizontal="center"/>
      <protection/>
    </xf>
    <xf numFmtId="0" fontId="0" fillId="0" borderId="10" xfId="0" applyFont="1" applyBorder="1" applyAlignment="1" applyProtection="1">
      <alignment horizontal="center"/>
      <protection/>
    </xf>
    <xf numFmtId="0" fontId="0" fillId="0" borderId="10" xfId="0" applyFont="1" applyBorder="1" applyAlignment="1" applyProtection="1">
      <alignment vertical="center" shrinkToFit="1"/>
      <protection/>
    </xf>
    <xf numFmtId="0" fontId="80" fillId="0" borderId="0" xfId="0" applyFont="1" applyBorder="1" applyAlignment="1" applyProtection="1">
      <alignment vertical="center"/>
      <protection hidden="1"/>
    </xf>
    <xf numFmtId="0" fontId="4" fillId="0" borderId="30" xfId="0" applyFont="1" applyBorder="1" applyAlignment="1" applyProtection="1">
      <alignment vertical="center" shrinkToFit="1"/>
      <protection hidden="1"/>
    </xf>
    <xf numFmtId="9" fontId="11" fillId="0" borderId="30" xfId="42" applyFont="1" applyBorder="1" applyAlignment="1" applyProtection="1">
      <alignment horizontal="left" vertical="center" shrinkToFit="1"/>
      <protection hidden="1"/>
    </xf>
    <xf numFmtId="0" fontId="4" fillId="0" borderId="30" xfId="0" applyFont="1" applyBorder="1" applyAlignment="1" applyProtection="1">
      <alignment horizontal="right" vertical="center" shrinkToFit="1"/>
      <protection hidden="1"/>
    </xf>
    <xf numFmtId="9" fontId="11" fillId="0" borderId="31" xfId="42" applyFont="1" applyBorder="1" applyAlignment="1" applyProtection="1">
      <alignment horizontal="left" vertical="center" shrinkToFit="1"/>
      <protection hidden="1"/>
    </xf>
    <xf numFmtId="206" fontId="4" fillId="0" borderId="11" xfId="0" applyNumberFormat="1" applyFont="1" applyFill="1" applyBorder="1" applyAlignment="1" applyProtection="1">
      <alignment horizontal="center" vertical="center" shrinkToFit="1"/>
      <protection/>
    </xf>
    <xf numFmtId="0" fontId="2" fillId="25" borderId="25" xfId="0" applyFont="1" applyFill="1" applyBorder="1" applyAlignment="1" applyProtection="1">
      <alignment horizontal="center" vertical="center" shrinkToFit="1"/>
      <protection locked="0"/>
    </xf>
    <xf numFmtId="206" fontId="4" fillId="0" borderId="25" xfId="0" applyNumberFormat="1" applyFont="1" applyFill="1" applyBorder="1" applyAlignment="1" applyProtection="1">
      <alignment horizontal="center" vertical="center" shrinkToFit="1"/>
      <protection/>
    </xf>
    <xf numFmtId="0" fontId="4" fillId="25" borderId="25" xfId="0" applyFont="1" applyFill="1" applyBorder="1" applyAlignment="1" applyProtection="1">
      <alignment horizontal="center" vertical="center" shrinkToFit="1"/>
      <protection locked="0"/>
    </xf>
    <xf numFmtId="0" fontId="4" fillId="25" borderId="22" xfId="0" applyFont="1" applyFill="1" applyBorder="1" applyAlignment="1" applyProtection="1">
      <alignment horizontal="center" vertical="center" shrinkToFit="1"/>
      <protection locked="0"/>
    </xf>
    <xf numFmtId="0" fontId="4" fillId="25" borderId="11" xfId="0" applyFont="1" applyFill="1" applyBorder="1" applyAlignment="1" applyProtection="1">
      <alignment horizontal="center" vertical="center" shrinkToFit="1"/>
      <protection locked="0"/>
    </xf>
    <xf numFmtId="186" fontId="4" fillId="0" borderId="11" xfId="0" applyNumberFormat="1" applyFont="1" applyBorder="1" applyAlignment="1" applyProtection="1">
      <alignment horizontal="center" vertical="center" shrinkToFit="1"/>
      <protection/>
    </xf>
    <xf numFmtId="0" fontId="11" fillId="0" borderId="20" xfId="0" applyFont="1" applyBorder="1" applyAlignment="1" applyProtection="1">
      <alignment horizontal="center" vertical="center" shrinkToFit="1"/>
      <protection/>
    </xf>
    <xf numFmtId="0" fontId="11" fillId="0" borderId="90" xfId="0" applyFont="1" applyBorder="1" applyAlignment="1" applyProtection="1">
      <alignment horizontal="center" vertical="center" shrinkToFit="1"/>
      <protection/>
    </xf>
    <xf numFmtId="0" fontId="11" fillId="0" borderId="91" xfId="0" applyFont="1" applyBorder="1" applyAlignment="1" applyProtection="1">
      <alignment horizontal="center" vertical="center" shrinkToFit="1"/>
      <protection/>
    </xf>
    <xf numFmtId="0" fontId="11" fillId="0" borderId="20" xfId="0" applyFont="1" applyBorder="1" applyAlignment="1" applyProtection="1">
      <alignment vertical="center" shrinkToFit="1"/>
      <protection/>
    </xf>
    <xf numFmtId="186" fontId="4" fillId="0" borderId="21" xfId="0" applyNumberFormat="1" applyFont="1" applyBorder="1" applyAlignment="1" applyProtection="1">
      <alignment horizontal="center" vertical="center" shrinkToFit="1"/>
      <protection/>
    </xf>
    <xf numFmtId="0" fontId="39" fillId="0" borderId="92" xfId="0" applyFont="1" applyBorder="1" applyAlignment="1" applyProtection="1">
      <alignment horizontal="center" vertical="center" shrinkToFit="1"/>
      <protection/>
    </xf>
    <xf numFmtId="0" fontId="39" fillId="0" borderId="30" xfId="0" applyFont="1" applyBorder="1" applyAlignment="1" applyProtection="1">
      <alignment horizontal="center" vertical="center" shrinkToFit="1"/>
      <protection/>
    </xf>
    <xf numFmtId="0" fontId="30" fillId="4" borderId="10" xfId="0" applyFont="1" applyFill="1" applyBorder="1" applyAlignment="1" applyProtection="1">
      <alignment horizontal="center" vertical="center" shrinkToFit="1"/>
      <protection/>
    </xf>
    <xf numFmtId="0" fontId="22" fillId="4" borderId="10" xfId="0" applyFont="1" applyFill="1" applyBorder="1" applyAlignment="1" applyProtection="1">
      <alignment horizontal="center"/>
      <protection locked="0"/>
    </xf>
    <xf numFmtId="0" fontId="37" fillId="4" borderId="10" xfId="0" applyFont="1" applyFill="1" applyBorder="1" applyAlignment="1" applyProtection="1">
      <alignment horizontal="center" vertical="center" shrinkToFit="1"/>
      <protection locked="0"/>
    </xf>
    <xf numFmtId="185" fontId="38" fillId="4" borderId="10" xfId="48" applyNumberFormat="1" applyFont="1" applyFill="1" applyBorder="1" applyAlignment="1" applyProtection="1">
      <alignment horizontal="center" vertical="center" shrinkToFit="1"/>
      <protection locked="0"/>
    </xf>
    <xf numFmtId="0" fontId="22" fillId="4" borderId="10" xfId="0" applyFont="1" applyFill="1" applyBorder="1" applyAlignment="1" applyProtection="1">
      <alignment horizontal="center"/>
      <protection locked="0"/>
    </xf>
    <xf numFmtId="0" fontId="37" fillId="4" borderId="10" xfId="0" applyFont="1" applyFill="1" applyBorder="1" applyAlignment="1" applyProtection="1">
      <alignment horizontal="center" vertical="center" shrinkToFit="1"/>
      <protection locked="0"/>
    </xf>
    <xf numFmtId="0" fontId="13" fillId="4" borderId="10" xfId="0" applyFont="1" applyFill="1" applyBorder="1" applyAlignment="1" applyProtection="1">
      <alignment horizontal="center"/>
      <protection locked="0"/>
    </xf>
    <xf numFmtId="0" fontId="4" fillId="4" borderId="10" xfId="0" applyFont="1" applyFill="1" applyBorder="1" applyAlignment="1" applyProtection="1">
      <alignment horizontal="center" vertical="center" shrinkToFit="1"/>
      <protection locked="0"/>
    </xf>
    <xf numFmtId="185" fontId="5" fillId="4" borderId="10" xfId="48" applyNumberFormat="1" applyFont="1" applyFill="1" applyBorder="1" applyAlignment="1" applyProtection="1">
      <alignment horizontal="center" vertical="center" shrinkToFit="1"/>
      <protection locked="0"/>
    </xf>
    <xf numFmtId="202" fontId="23" fillId="4" borderId="39" xfId="0" applyNumberFormat="1" applyFont="1" applyFill="1" applyBorder="1" applyAlignment="1" applyProtection="1">
      <alignment horizontal="left" vertical="center" shrinkToFit="1"/>
      <protection/>
    </xf>
    <xf numFmtId="185" fontId="23" fillId="4" borderId="67" xfId="0" applyNumberFormat="1" applyFont="1" applyFill="1" applyBorder="1" applyAlignment="1" applyProtection="1">
      <alignment horizontal="center" vertical="center" shrinkToFit="1"/>
      <protection/>
    </xf>
    <xf numFmtId="9" fontId="30" fillId="4" borderId="10" xfId="0" applyNumberFormat="1" applyFont="1" applyFill="1" applyBorder="1" applyAlignment="1" applyProtection="1">
      <alignment horizontal="center" vertical="center" shrinkToFit="1"/>
      <protection/>
    </xf>
    <xf numFmtId="182" fontId="23" fillId="4" borderId="57" xfId="0" applyNumberFormat="1" applyFont="1" applyFill="1" applyBorder="1" applyAlignment="1" applyProtection="1">
      <alignment horizontal="center" shrinkToFit="1"/>
      <protection/>
    </xf>
    <xf numFmtId="176" fontId="23" fillId="4" borderId="57" xfId="0" applyNumberFormat="1" applyFont="1" applyFill="1" applyBorder="1" applyAlignment="1" applyProtection="1">
      <alignment horizontal="center" shrinkToFit="1"/>
      <protection/>
    </xf>
    <xf numFmtId="0" fontId="2" fillId="0" borderId="25" xfId="0" applyFont="1" applyBorder="1" applyAlignment="1" applyProtection="1">
      <alignment horizontal="center" vertical="center" shrinkToFit="1"/>
      <protection/>
    </xf>
    <xf numFmtId="0" fontId="2" fillId="0" borderId="11" xfId="0" applyFont="1" applyBorder="1" applyAlignment="1" applyProtection="1">
      <alignment horizontal="center" vertical="center" shrinkToFit="1"/>
      <protection/>
    </xf>
    <xf numFmtId="0" fontId="4" fillId="0" borderId="25" xfId="0" applyFont="1" applyFill="1" applyBorder="1" applyAlignment="1" applyProtection="1">
      <alignment horizontal="center" vertical="center" shrinkToFit="1"/>
      <protection/>
    </xf>
    <xf numFmtId="0" fontId="4" fillId="0" borderId="22" xfId="0" applyFont="1" applyFill="1" applyBorder="1" applyAlignment="1" applyProtection="1">
      <alignment horizontal="center" vertical="center" shrinkToFit="1"/>
      <protection/>
    </xf>
    <xf numFmtId="0" fontId="4" fillId="0" borderId="11" xfId="0" applyFont="1" applyFill="1" applyBorder="1" applyAlignment="1" applyProtection="1">
      <alignment horizontal="center" vertical="center" shrinkToFit="1"/>
      <protection/>
    </xf>
    <xf numFmtId="0" fontId="2" fillId="0" borderId="21" xfId="0" applyFont="1" applyBorder="1" applyAlignment="1" applyProtection="1">
      <alignment horizontal="center" vertical="center" shrinkToFit="1"/>
      <protection/>
    </xf>
    <xf numFmtId="0" fontId="36" fillId="0" borderId="0" xfId="0" applyFont="1" applyBorder="1" applyAlignment="1" applyProtection="1">
      <alignment horizontal="left" vertical="center" wrapText="1" readingOrder="1"/>
      <protection/>
    </xf>
    <xf numFmtId="0" fontId="2" fillId="25" borderId="22" xfId="0" applyFont="1" applyFill="1" applyBorder="1" applyAlignment="1" applyProtection="1">
      <alignment horizontal="center" vertical="center" shrinkToFit="1"/>
      <protection locked="0"/>
    </xf>
    <xf numFmtId="0" fontId="4" fillId="0" borderId="0" xfId="0" applyFont="1" applyFill="1" applyAlignment="1" applyProtection="1">
      <alignment horizontal="left" vertical="center" shrinkToFit="1"/>
      <protection/>
    </xf>
    <xf numFmtId="0" fontId="0" fillId="0" borderId="0" xfId="0" applyFont="1" applyAlignment="1" applyProtection="1">
      <alignment vertical="center" shrinkToFit="1"/>
      <protection/>
    </xf>
    <xf numFmtId="0" fontId="2" fillId="0" borderId="25" xfId="0" applyFont="1" applyFill="1" applyBorder="1" applyAlignment="1" applyProtection="1">
      <alignment horizontal="center" vertical="center" shrinkToFit="1"/>
      <protection/>
    </xf>
    <xf numFmtId="0" fontId="2" fillId="0" borderId="22" xfId="0" applyFont="1" applyFill="1" applyBorder="1" applyAlignment="1" applyProtection="1">
      <alignment horizontal="center" vertical="center" shrinkToFit="1"/>
      <protection/>
    </xf>
    <xf numFmtId="186" fontId="4" fillId="0" borderId="25" xfId="0" applyNumberFormat="1" applyFont="1" applyFill="1" applyBorder="1" applyAlignment="1" applyProtection="1">
      <alignment horizontal="center" vertical="center" shrinkToFit="1"/>
      <protection/>
    </xf>
    <xf numFmtId="0" fontId="0" fillId="0" borderId="11" xfId="0" applyFont="1" applyBorder="1" applyAlignment="1" applyProtection="1">
      <alignment vertical="center"/>
      <protection/>
    </xf>
    <xf numFmtId="0" fontId="4" fillId="0" borderId="21" xfId="0" applyFont="1" applyBorder="1" applyAlignment="1" applyProtection="1">
      <alignment horizontal="center" vertical="center" shrinkToFit="1"/>
      <protection/>
    </xf>
    <xf numFmtId="0" fontId="4" fillId="0" borderId="22" xfId="0" applyFont="1" applyBorder="1" applyAlignment="1" applyProtection="1">
      <alignment horizontal="center" vertical="center" shrinkToFit="1"/>
      <protection/>
    </xf>
    <xf numFmtId="0" fontId="4" fillId="0" borderId="11" xfId="0" applyFont="1" applyBorder="1" applyAlignment="1" applyProtection="1">
      <alignment horizontal="center" vertical="center" shrinkToFit="1"/>
      <protection/>
    </xf>
    <xf numFmtId="206" fontId="4" fillId="0" borderId="21" xfId="0" applyNumberFormat="1" applyFont="1" applyBorder="1" applyAlignment="1" applyProtection="1">
      <alignment horizontal="center" vertical="center" shrinkToFit="1"/>
      <protection/>
    </xf>
    <xf numFmtId="206" fontId="4" fillId="0" borderId="11" xfId="0" applyNumberFormat="1" applyFont="1" applyBorder="1" applyAlignment="1" applyProtection="1">
      <alignment horizontal="center" vertical="center" shrinkToFit="1"/>
      <protection/>
    </xf>
    <xf numFmtId="0" fontId="4" fillId="25" borderId="25" xfId="0" applyFont="1" applyFill="1" applyBorder="1" applyAlignment="1" applyProtection="1">
      <alignment horizontal="left" vertical="center" shrinkToFit="1"/>
      <protection locked="0"/>
    </xf>
    <xf numFmtId="0" fontId="4" fillId="25" borderId="22" xfId="0" applyFont="1" applyFill="1" applyBorder="1" applyAlignment="1" applyProtection="1">
      <alignment horizontal="left" vertical="center" shrinkToFit="1"/>
      <protection locked="0"/>
    </xf>
    <xf numFmtId="0" fontId="4" fillId="25" borderId="11" xfId="0" applyFont="1" applyFill="1" applyBorder="1" applyAlignment="1" applyProtection="1">
      <alignment horizontal="left" vertical="center" shrinkToFit="1"/>
      <protection locked="0"/>
    </xf>
    <xf numFmtId="0" fontId="0" fillId="0" borderId="22" xfId="0" applyFont="1" applyBorder="1" applyAlignment="1" applyProtection="1">
      <alignment vertical="center"/>
      <protection/>
    </xf>
    <xf numFmtId="0" fontId="11" fillId="0" borderId="88" xfId="0" applyFont="1" applyFill="1" applyBorder="1" applyAlignment="1" applyProtection="1">
      <alignment horizontal="center" vertical="center" shrinkToFit="1"/>
      <protection/>
    </xf>
    <xf numFmtId="0" fontId="11" fillId="0" borderId="20" xfId="0" applyFont="1" applyFill="1" applyBorder="1" applyAlignment="1" applyProtection="1">
      <alignment horizontal="center" vertical="center" shrinkToFit="1"/>
      <protection/>
    </xf>
    <xf numFmtId="0" fontId="11" fillId="0" borderId="17" xfId="0" applyFont="1" applyFill="1" applyBorder="1" applyAlignment="1" applyProtection="1">
      <alignment horizontal="center" vertical="center" shrinkToFit="1"/>
      <protection/>
    </xf>
    <xf numFmtId="0" fontId="4" fillId="6" borderId="25" xfId="0" applyFont="1" applyFill="1" applyBorder="1" applyAlignment="1" applyProtection="1">
      <alignment horizontal="center" vertical="center" shrinkToFit="1"/>
      <protection locked="0"/>
    </xf>
    <xf numFmtId="0" fontId="4" fillId="6" borderId="11" xfId="0" applyFont="1" applyFill="1" applyBorder="1" applyAlignment="1" applyProtection="1">
      <alignment horizontal="center" vertical="center" shrinkToFit="1"/>
      <protection locked="0"/>
    </xf>
    <xf numFmtId="0" fontId="4" fillId="0" borderId="28" xfId="0" applyFont="1" applyBorder="1" applyAlignment="1" applyProtection="1">
      <alignment horizontal="center" vertical="center" shrinkToFit="1"/>
      <protection/>
    </xf>
    <xf numFmtId="191" fontId="5" fillId="0" borderId="23" xfId="48" applyNumberFormat="1" applyFont="1" applyFill="1" applyBorder="1" applyAlignment="1" applyProtection="1">
      <alignment horizontal="center" vertical="center" shrinkToFit="1"/>
      <protection/>
    </xf>
    <xf numFmtId="191" fontId="5" fillId="0" borderId="18" xfId="48" applyNumberFormat="1" applyFont="1" applyFill="1" applyBorder="1" applyAlignment="1" applyProtection="1">
      <alignment horizontal="center" vertical="center" shrinkToFit="1"/>
      <protection/>
    </xf>
    <xf numFmtId="0" fontId="6" fillId="21" borderId="26" xfId="0" applyFont="1" applyFill="1" applyBorder="1" applyAlignment="1" applyProtection="1">
      <alignment horizontal="center" vertical="center" shrinkToFit="1"/>
      <protection/>
    </xf>
    <xf numFmtId="0" fontId="6" fillId="21" borderId="15" xfId="0" applyFont="1" applyFill="1" applyBorder="1" applyAlignment="1" applyProtection="1">
      <alignment horizontal="center" vertical="center" shrinkToFit="1"/>
      <protection/>
    </xf>
    <xf numFmtId="0" fontId="6" fillId="21" borderId="19" xfId="0" applyFont="1" applyFill="1" applyBorder="1" applyAlignment="1" applyProtection="1">
      <alignment horizontal="center" vertical="center" shrinkToFit="1"/>
      <protection/>
    </xf>
    <xf numFmtId="0" fontId="6" fillId="21" borderId="17" xfId="0" applyFont="1" applyFill="1" applyBorder="1" applyAlignment="1" applyProtection="1">
      <alignment horizontal="center" vertical="center" shrinkToFit="1"/>
      <protection/>
    </xf>
    <xf numFmtId="0" fontId="5" fillId="0" borderId="12" xfId="0" applyFont="1" applyBorder="1" applyAlignment="1" applyProtection="1">
      <alignment horizontal="center" vertical="center" shrinkToFit="1"/>
      <protection/>
    </xf>
    <xf numFmtId="0" fontId="5" fillId="0" borderId="16" xfId="0" applyFont="1" applyBorder="1" applyAlignment="1" applyProtection="1">
      <alignment horizontal="center" vertical="center" shrinkToFit="1"/>
      <protection/>
    </xf>
    <xf numFmtId="0" fontId="4" fillId="0" borderId="10" xfId="0" applyFont="1" applyBorder="1" applyAlignment="1" applyProtection="1">
      <alignment horizontal="center" vertical="center" wrapText="1"/>
      <protection/>
    </xf>
    <xf numFmtId="0" fontId="4" fillId="0" borderId="12" xfId="0" applyFont="1" applyBorder="1" applyAlignment="1" applyProtection="1">
      <alignment horizontal="center" vertical="center" shrinkToFit="1"/>
      <protection/>
    </xf>
    <xf numFmtId="0" fontId="4" fillId="0" borderId="16" xfId="0" applyFont="1" applyBorder="1" applyAlignment="1" applyProtection="1">
      <alignment horizontal="center" vertical="center" shrinkToFit="1"/>
      <protection/>
    </xf>
    <xf numFmtId="0" fontId="6" fillId="21" borderId="10" xfId="0"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3" fillId="25" borderId="12" xfId="0" applyFont="1" applyFill="1" applyBorder="1" applyAlignment="1" applyProtection="1">
      <alignment horizontal="center" vertical="center" shrinkToFit="1"/>
      <protection/>
    </xf>
    <xf numFmtId="0" fontId="3" fillId="25" borderId="16" xfId="0" applyFont="1" applyFill="1" applyBorder="1" applyAlignment="1" applyProtection="1">
      <alignment horizontal="center" vertical="center" shrinkToFit="1"/>
      <protection/>
    </xf>
    <xf numFmtId="0" fontId="2" fillId="0" borderId="12" xfId="0" applyFont="1" applyFill="1" applyBorder="1" applyAlignment="1" applyProtection="1">
      <alignment horizontal="center" vertical="center" shrinkToFit="1"/>
      <protection/>
    </xf>
    <xf numFmtId="0" fontId="2" fillId="0" borderId="16" xfId="0" applyFont="1" applyFill="1" applyBorder="1" applyAlignment="1" applyProtection="1">
      <alignment horizontal="center" vertical="center" shrinkToFit="1"/>
      <protection/>
    </xf>
    <xf numFmtId="0" fontId="42" fillId="0" borderId="48" xfId="0" applyFont="1" applyBorder="1" applyAlignment="1" applyProtection="1">
      <alignment horizontal="center" vertical="center" wrapText="1"/>
      <protection/>
    </xf>
    <xf numFmtId="0" fontId="42" fillId="0" borderId="84" xfId="0" applyFont="1" applyBorder="1" applyAlignment="1" applyProtection="1">
      <alignment horizontal="center" vertical="center" wrapText="1"/>
      <protection/>
    </xf>
    <xf numFmtId="0" fontId="8" fillId="0" borderId="49" xfId="0" applyFont="1" applyBorder="1" applyAlignment="1" applyProtection="1">
      <alignment horizontal="center" vertical="center" wrapText="1"/>
      <protection/>
    </xf>
    <xf numFmtId="0" fontId="8" fillId="0" borderId="93" xfId="0" applyFont="1" applyBorder="1" applyAlignment="1" applyProtection="1">
      <alignment horizontal="center" vertical="center" wrapText="1"/>
      <protection/>
    </xf>
    <xf numFmtId="0" fontId="24" fillId="0" borderId="0" xfId="0" applyFont="1" applyAlignment="1" applyProtection="1">
      <alignment horizontal="center" vertical="center" shrinkToFit="1"/>
      <protection/>
    </xf>
    <xf numFmtId="0" fontId="5" fillId="0" borderId="38"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82"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2" fillId="0" borderId="12" xfId="0" applyFont="1" applyBorder="1" applyAlignment="1" applyProtection="1">
      <alignment horizontal="center" vertical="center" shrinkToFit="1"/>
      <protection/>
    </xf>
    <xf numFmtId="0" fontId="2" fillId="0" borderId="16" xfId="0" applyFont="1" applyBorder="1" applyAlignment="1" applyProtection="1">
      <alignment horizontal="center" vertical="center" shrinkToFit="1"/>
      <protection/>
    </xf>
    <xf numFmtId="0" fontId="8" fillId="0" borderId="50" xfId="0" applyFont="1" applyBorder="1" applyAlignment="1" applyProtection="1">
      <alignment horizontal="center" vertical="center" wrapText="1"/>
      <protection/>
    </xf>
    <xf numFmtId="0" fontId="8" fillId="0" borderId="94"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176" fontId="8" fillId="0" borderId="49" xfId="0" applyNumberFormat="1" applyFont="1" applyBorder="1" applyAlignment="1" applyProtection="1">
      <alignment horizontal="center" vertical="center" wrapText="1"/>
      <protection/>
    </xf>
    <xf numFmtId="176" fontId="8" fillId="0" borderId="93" xfId="0" applyNumberFormat="1" applyFont="1" applyBorder="1" applyAlignment="1" applyProtection="1">
      <alignment horizontal="center" vertical="center" wrapText="1"/>
      <protection/>
    </xf>
    <xf numFmtId="0" fontId="5" fillId="0" borderId="38" xfId="0" applyFont="1" applyFill="1" applyBorder="1" applyAlignment="1" applyProtection="1">
      <alignment horizontal="center" vertical="center" wrapText="1"/>
      <protection/>
    </xf>
    <xf numFmtId="0" fontId="12" fillId="0" borderId="15" xfId="0" applyFont="1" applyBorder="1" applyAlignment="1" applyProtection="1">
      <alignment horizontal="center" vertical="center" wrapText="1"/>
      <protection/>
    </xf>
    <xf numFmtId="0" fontId="12" fillId="0" borderId="82" xfId="0" applyFont="1" applyBorder="1" applyAlignment="1" applyProtection="1">
      <alignment horizontal="center" vertical="center" wrapText="1"/>
      <protection/>
    </xf>
    <xf numFmtId="0" fontId="12" fillId="0" borderId="17" xfId="0" applyFont="1" applyBorder="1" applyAlignment="1" applyProtection="1">
      <alignment horizontal="center" vertical="center" wrapText="1"/>
      <protection/>
    </xf>
    <xf numFmtId="0" fontId="37" fillId="0" borderId="0" xfId="0" applyFont="1" applyAlignment="1" applyProtection="1">
      <alignment horizontal="center" vertical="center" shrinkToFit="1"/>
      <protection/>
    </xf>
    <xf numFmtId="0" fontId="5" fillId="0" borderId="15" xfId="0" applyFont="1" applyFill="1" applyBorder="1" applyAlignment="1" applyProtection="1">
      <alignment horizontal="center" vertical="center" wrapText="1"/>
      <protection/>
    </xf>
    <xf numFmtId="0" fontId="5" fillId="0" borderId="82"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179" fontId="7" fillId="0" borderId="12" xfId="0" applyNumberFormat="1" applyFont="1" applyBorder="1" applyAlignment="1" applyProtection="1">
      <alignment horizontal="center" vertical="center" wrapText="1"/>
      <protection/>
    </xf>
    <xf numFmtId="179" fontId="7" fillId="0" borderId="16" xfId="0" applyNumberFormat="1" applyFont="1" applyBorder="1" applyAlignment="1" applyProtection="1">
      <alignment horizontal="center" vertical="center" wrapText="1"/>
      <protection/>
    </xf>
    <xf numFmtId="0" fontId="4" fillId="0" borderId="13" xfId="0" applyFont="1" applyBorder="1" applyAlignment="1" applyProtection="1">
      <alignment horizontal="center" vertical="center" shrinkToFit="1"/>
      <protection/>
    </xf>
    <xf numFmtId="0" fontId="4" fillId="0" borderId="17" xfId="0" applyFont="1" applyBorder="1" applyAlignment="1" applyProtection="1">
      <alignment horizontal="center" vertical="center" shrinkToFit="1"/>
      <protection/>
    </xf>
    <xf numFmtId="0" fontId="4" fillId="0" borderId="51" xfId="0" applyFont="1" applyBorder="1" applyAlignment="1" applyProtection="1">
      <alignment horizontal="center" vertical="center" wrapText="1"/>
      <protection hidden="1"/>
    </xf>
    <xf numFmtId="0" fontId="4" fillId="0" borderId="54"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shrinkToFit="1"/>
      <protection hidden="1"/>
    </xf>
    <xf numFmtId="0" fontId="4" fillId="0" borderId="54" xfId="0" applyFont="1" applyBorder="1" applyAlignment="1" applyProtection="1">
      <alignment horizontal="center" vertical="center" wrapText="1" shrinkToFit="1"/>
      <protection hidden="1"/>
    </xf>
    <xf numFmtId="0" fontId="6" fillId="0" borderId="51" xfId="0" applyFont="1" applyBorder="1" applyAlignment="1" applyProtection="1">
      <alignment horizontal="center" vertical="center" wrapText="1"/>
      <protection hidden="1"/>
    </xf>
    <xf numFmtId="0" fontId="6" fillId="0" borderId="54" xfId="0" applyFont="1" applyBorder="1" applyAlignment="1" applyProtection="1">
      <alignment horizontal="center" vertical="center" wrapText="1"/>
      <protection hidden="1"/>
    </xf>
    <xf numFmtId="0" fontId="4" fillId="0" borderId="95" xfId="0" applyFont="1" applyBorder="1" applyAlignment="1" applyProtection="1">
      <alignment horizontal="center" vertical="center" shrinkToFit="1"/>
      <protection/>
    </xf>
    <xf numFmtId="0" fontId="4" fillId="0" borderId="96" xfId="0" applyFont="1" applyBorder="1" applyAlignment="1" applyProtection="1">
      <alignment horizontal="center" vertical="center" shrinkToFit="1"/>
      <protection/>
    </xf>
    <xf numFmtId="0" fontId="4" fillId="0" borderId="51" xfId="0" applyFont="1" applyBorder="1" applyAlignment="1" applyProtection="1">
      <alignment horizontal="center" vertical="center" shrinkToFit="1"/>
      <protection hidden="1"/>
    </xf>
    <xf numFmtId="0" fontId="4" fillId="0" borderId="54" xfId="0" applyFont="1" applyBorder="1" applyAlignment="1" applyProtection="1">
      <alignment horizontal="center" vertical="center" shrinkToFit="1"/>
      <protection hidden="1"/>
    </xf>
    <xf numFmtId="0" fontId="4" fillId="0" borderId="21" xfId="0" applyFont="1" applyFill="1" applyBorder="1" applyAlignment="1" applyProtection="1">
      <alignment horizontal="center" shrinkToFit="1"/>
      <protection/>
    </xf>
    <xf numFmtId="0" fontId="4" fillId="0" borderId="11" xfId="0" applyFont="1" applyFill="1" applyBorder="1" applyAlignment="1" applyProtection="1">
      <alignment horizontal="center" shrinkToFit="1"/>
      <protection/>
    </xf>
    <xf numFmtId="0" fontId="4" fillId="0" borderId="10" xfId="0" applyFont="1" applyFill="1" applyBorder="1" applyAlignment="1" applyProtection="1">
      <alignment horizontal="right" shrinkToFit="1"/>
      <protection/>
    </xf>
    <xf numFmtId="0" fontId="7" fillId="0" borderId="51" xfId="0" applyFont="1" applyBorder="1" applyAlignment="1" applyProtection="1">
      <alignment horizontal="center" vertical="center" wrapText="1"/>
      <protection hidden="1"/>
    </xf>
    <xf numFmtId="0" fontId="7" fillId="0" borderId="77" xfId="0" applyFont="1" applyBorder="1" applyAlignment="1" applyProtection="1">
      <alignment horizontal="center" vertical="center" wrapText="1"/>
      <protection hidden="1"/>
    </xf>
    <xf numFmtId="183" fontId="15" fillId="0" borderId="51" xfId="0" applyNumberFormat="1" applyFont="1" applyFill="1" applyBorder="1" applyAlignment="1" applyProtection="1">
      <alignment horizontal="center" vertical="center" wrapText="1" shrinkToFit="1"/>
      <protection hidden="1"/>
    </xf>
    <xf numFmtId="183" fontId="15" fillId="0" borderId="77" xfId="0" applyNumberFormat="1" applyFont="1" applyFill="1" applyBorder="1" applyAlignment="1" applyProtection="1">
      <alignment horizontal="center" vertical="center" wrapText="1" shrinkToFit="1"/>
      <protection hidden="1"/>
    </xf>
    <xf numFmtId="176" fontId="4" fillId="0" borderId="97" xfId="0" applyNumberFormat="1" applyFont="1" applyBorder="1" applyAlignment="1" applyProtection="1">
      <alignment horizontal="center" shrinkToFit="1"/>
      <protection hidden="1"/>
    </xf>
    <xf numFmtId="176" fontId="4" fillId="0" borderId="98" xfId="0" applyNumberFormat="1" applyFont="1" applyBorder="1" applyAlignment="1" applyProtection="1">
      <alignment horizontal="center" shrinkToFit="1"/>
      <protection hidden="1"/>
    </xf>
    <xf numFmtId="179" fontId="4" fillId="0" borderId="97" xfId="0" applyNumberFormat="1" applyFont="1" applyBorder="1" applyAlignment="1" applyProtection="1">
      <alignment horizontal="center" shrinkToFit="1"/>
      <protection hidden="1"/>
    </xf>
    <xf numFmtId="179" fontId="4" fillId="0" borderId="98" xfId="0" applyNumberFormat="1" applyFont="1" applyBorder="1" applyAlignment="1" applyProtection="1">
      <alignment horizontal="center" shrinkToFit="1"/>
      <protection hidden="1"/>
    </xf>
    <xf numFmtId="0" fontId="4" fillId="0" borderId="97" xfId="0" applyFont="1" applyBorder="1" applyAlignment="1" applyProtection="1">
      <alignment horizontal="center" shrinkToFit="1"/>
      <protection hidden="1"/>
    </xf>
    <xf numFmtId="0" fontId="4" fillId="0" borderId="98" xfId="0" applyFont="1" applyBorder="1" applyAlignment="1" applyProtection="1">
      <alignment horizontal="center" shrinkToFit="1"/>
      <protection hidden="1"/>
    </xf>
    <xf numFmtId="0" fontId="4" fillId="0" borderId="10" xfId="0" applyFont="1" applyFill="1" applyBorder="1" applyAlignment="1" applyProtection="1">
      <alignment horizontal="left" shrinkToFit="1"/>
      <protection/>
    </xf>
    <xf numFmtId="0" fontId="4" fillId="0" borderId="10" xfId="0" applyFont="1" applyBorder="1" applyAlignment="1" applyProtection="1">
      <alignment horizontal="center" vertical="center" shrinkToFit="1"/>
      <protection/>
    </xf>
    <xf numFmtId="0" fontId="2" fillId="0" borderId="10" xfId="0" applyFont="1" applyBorder="1" applyAlignment="1" applyProtection="1">
      <alignment horizontal="center" vertical="center" wrapText="1"/>
      <protection/>
    </xf>
    <xf numFmtId="183" fontId="15" fillId="0" borderId="50" xfId="0" applyNumberFormat="1" applyFont="1" applyFill="1" applyBorder="1" applyAlignment="1" applyProtection="1">
      <alignment horizontal="center" vertical="center" wrapText="1" shrinkToFit="1"/>
      <protection hidden="1"/>
    </xf>
    <xf numFmtId="183" fontId="15" fillId="0" borderId="94" xfId="0" applyNumberFormat="1" applyFont="1" applyFill="1" applyBorder="1" applyAlignment="1" applyProtection="1">
      <alignment horizontal="center" vertical="center" wrapText="1" shrinkToFit="1"/>
      <protection hidden="1"/>
    </xf>
    <xf numFmtId="0" fontId="2" fillId="0" borderId="10" xfId="0" applyFont="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29" fillId="0" borderId="21" xfId="0" applyFont="1" applyFill="1" applyBorder="1" applyAlignment="1" applyProtection="1">
      <alignment horizontal="center" shrinkToFit="1"/>
      <protection locked="0"/>
    </xf>
    <xf numFmtId="0" fontId="29" fillId="0" borderId="11" xfId="0" applyFont="1" applyFill="1" applyBorder="1" applyAlignment="1" applyProtection="1">
      <alignment horizontal="center" shrinkToFit="1"/>
      <protection locked="0"/>
    </xf>
    <xf numFmtId="183" fontId="15" fillId="0" borderId="53" xfId="0" applyNumberFormat="1" applyFont="1" applyFill="1" applyBorder="1" applyAlignment="1" applyProtection="1">
      <alignment horizontal="center" vertical="center" wrapText="1" shrinkToFit="1"/>
      <protection hidden="1"/>
    </xf>
    <xf numFmtId="183" fontId="15" fillId="0" borderId="79" xfId="0" applyNumberFormat="1" applyFont="1" applyFill="1" applyBorder="1" applyAlignment="1" applyProtection="1">
      <alignment horizontal="center" vertical="center" wrapText="1" shrinkToFit="1"/>
      <protection hidden="1"/>
    </xf>
    <xf numFmtId="0" fontId="43" fillId="0" borderId="21" xfId="0" applyFont="1" applyFill="1" applyBorder="1" applyAlignment="1" applyProtection="1">
      <alignment horizontal="center" shrinkToFit="1"/>
      <protection locked="0"/>
    </xf>
    <xf numFmtId="0" fontId="43" fillId="0" borderId="11" xfId="0" applyFont="1" applyFill="1" applyBorder="1" applyAlignment="1" applyProtection="1">
      <alignment horizontal="center" shrinkToFit="1"/>
      <protection locked="0"/>
    </xf>
    <xf numFmtId="0" fontId="8" fillId="0" borderId="21" xfId="0" applyFont="1" applyBorder="1" applyAlignment="1" applyProtection="1">
      <alignment horizontal="center" vertical="center" shrinkToFit="1"/>
      <protection/>
    </xf>
    <xf numFmtId="0" fontId="8" fillId="0" borderId="11" xfId="0" applyFont="1" applyBorder="1" applyAlignment="1" applyProtection="1">
      <alignment horizontal="center" vertical="center" shrinkToFit="1"/>
      <protection/>
    </xf>
    <xf numFmtId="0" fontId="2" fillId="0" borderId="26" xfId="0" applyFont="1" applyBorder="1" applyAlignment="1" applyProtection="1">
      <alignment horizontal="center" vertical="center" shrinkToFit="1"/>
      <protection hidden="1"/>
    </xf>
    <xf numFmtId="0" fontId="2" fillId="0" borderId="0" xfId="0" applyFont="1" applyAlignment="1" applyProtection="1">
      <alignment horizontal="center" vertical="center" shrinkToFit="1"/>
      <protection hidden="1"/>
    </xf>
    <xf numFmtId="0" fontId="4" fillId="0" borderId="92" xfId="0" applyFont="1" applyBorder="1" applyAlignment="1" applyProtection="1">
      <alignment horizontal="center" vertical="center" shrinkToFit="1"/>
      <protection hidden="1"/>
    </xf>
    <xf numFmtId="0" fontId="4" fillId="0" borderId="30" xfId="0" applyFont="1" applyBorder="1" applyAlignment="1" applyProtection="1">
      <alignment horizontal="center" vertical="center" shrinkToFit="1"/>
      <protection hidden="1"/>
    </xf>
    <xf numFmtId="0" fontId="36" fillId="0" borderId="18" xfId="0" applyFont="1" applyBorder="1" applyAlignment="1" applyProtection="1">
      <alignment horizontal="left" vertical="center" shrinkToFit="1" readingOrder="1"/>
      <protection/>
    </xf>
    <xf numFmtId="0" fontId="0" fillId="0" borderId="18" xfId="0" applyBorder="1" applyAlignment="1" applyProtection="1">
      <alignment vertical="center" shrinkToFit="1"/>
      <protection/>
    </xf>
    <xf numFmtId="0" fontId="26" fillId="0" borderId="21" xfId="0" applyFont="1" applyBorder="1" applyAlignment="1" applyProtection="1">
      <alignment horizontal="center" vertical="center" shrinkToFit="1"/>
      <protection locked="0"/>
    </xf>
    <xf numFmtId="0" fontId="26" fillId="0" borderId="11" xfId="0" applyFont="1" applyBorder="1" applyAlignment="1" applyProtection="1">
      <alignment horizontal="center" vertical="center" shrinkToFit="1"/>
      <protection locked="0"/>
    </xf>
    <xf numFmtId="0" fontId="27" fillId="0" borderId="21" xfId="0" applyFont="1" applyBorder="1" applyAlignment="1" applyProtection="1">
      <alignment horizontal="center" vertical="center" shrinkToFit="1"/>
      <protection locked="0"/>
    </xf>
    <xf numFmtId="0" fontId="27" fillId="0" borderId="11" xfId="0" applyFont="1" applyBorder="1" applyAlignment="1" applyProtection="1">
      <alignment horizontal="center" vertical="center" shrinkToFit="1"/>
      <protection locked="0"/>
    </xf>
    <xf numFmtId="0" fontId="30" fillId="0" borderId="21" xfId="0" applyFont="1" applyBorder="1" applyAlignment="1" applyProtection="1">
      <alignment horizontal="center" shrinkToFit="1"/>
      <protection locked="0"/>
    </xf>
    <xf numFmtId="0" fontId="30" fillId="0" borderId="11" xfId="0" applyFont="1" applyBorder="1" applyAlignment="1" applyProtection="1">
      <alignment horizontal="center" shrinkToFit="1"/>
      <protection locked="0"/>
    </xf>
    <xf numFmtId="0" fontId="26" fillId="0" borderId="21" xfId="0" applyFont="1" applyBorder="1" applyAlignment="1" applyProtection="1">
      <alignment horizontal="center" vertical="center" shrinkToFit="1"/>
      <protection/>
    </xf>
    <xf numFmtId="0" fontId="26" fillId="0" borderId="11" xfId="0" applyFont="1" applyBorder="1" applyAlignment="1" applyProtection="1">
      <alignment horizontal="center" vertical="center" shrinkToFit="1"/>
      <protection/>
    </xf>
    <xf numFmtId="0" fontId="30" fillId="0" borderId="21" xfId="0" applyFont="1" applyBorder="1" applyAlignment="1" applyProtection="1">
      <alignment horizontal="center" shrinkToFit="1"/>
      <protection/>
    </xf>
    <xf numFmtId="0" fontId="30" fillId="0" borderId="11" xfId="0" applyFont="1" applyBorder="1" applyAlignment="1" applyProtection="1">
      <alignment horizontal="center" shrinkToFit="1"/>
      <protection/>
    </xf>
    <xf numFmtId="0" fontId="27" fillId="0" borderId="21" xfId="0" applyFont="1" applyBorder="1" applyAlignment="1" applyProtection="1">
      <alignment horizontal="center" vertical="center" shrinkToFit="1"/>
      <protection/>
    </xf>
    <xf numFmtId="0" fontId="27" fillId="0" borderId="11" xfId="0" applyFont="1" applyBorder="1" applyAlignment="1" applyProtection="1">
      <alignment horizontal="center" vertical="center" shrinkToFit="1"/>
      <protection/>
    </xf>
    <xf numFmtId="0" fontId="43" fillId="0" borderId="21" xfId="0" applyFont="1" applyFill="1" applyBorder="1" applyAlignment="1" applyProtection="1">
      <alignment horizontal="center" shrinkToFit="1"/>
      <protection/>
    </xf>
    <xf numFmtId="0" fontId="43" fillId="0" borderId="11" xfId="0" applyFont="1" applyFill="1" applyBorder="1" applyAlignment="1" applyProtection="1">
      <alignment horizontal="center" shrinkToFit="1"/>
      <protection/>
    </xf>
    <xf numFmtId="0" fontId="2" fillId="0" borderId="26" xfId="0" applyFont="1" applyBorder="1" applyAlignment="1" applyProtection="1">
      <alignment horizontal="center" vertical="center" shrinkToFit="1"/>
      <protection/>
    </xf>
    <xf numFmtId="0" fontId="2" fillId="0" borderId="0" xfId="0" applyFont="1" applyAlignment="1" applyProtection="1">
      <alignment horizontal="center" vertical="center" shrinkToFit="1"/>
      <protection/>
    </xf>
    <xf numFmtId="0" fontId="40" fillId="0" borderId="92" xfId="0" applyFont="1" applyBorder="1" applyAlignment="1" applyProtection="1">
      <alignment horizontal="center" vertical="center" shrinkToFit="1"/>
      <protection/>
    </xf>
    <xf numFmtId="0" fontId="40" fillId="0" borderId="30" xfId="0" applyFont="1" applyBorder="1" applyAlignment="1" applyProtection="1">
      <alignment horizontal="center" vertical="center" shrinkToFit="1"/>
      <protection/>
    </xf>
    <xf numFmtId="0" fontId="29" fillId="0" borderId="21" xfId="0" applyFont="1" applyFill="1" applyBorder="1" applyAlignment="1" applyProtection="1">
      <alignment horizontal="center" shrinkToFit="1"/>
      <protection/>
    </xf>
    <xf numFmtId="0" fontId="29" fillId="0" borderId="11" xfId="0" applyFont="1" applyFill="1" applyBorder="1" applyAlignment="1" applyProtection="1">
      <alignment horizontal="center" shrinkToFit="1"/>
      <protection/>
    </xf>
    <xf numFmtId="0" fontId="7" fillId="0" borderId="51" xfId="0" applyFont="1" applyBorder="1" applyAlignment="1" applyProtection="1">
      <alignment horizontal="center" vertical="center" wrapText="1"/>
      <protection/>
    </xf>
    <xf numFmtId="0" fontId="7" fillId="0" borderId="77" xfId="0" applyFont="1" applyBorder="1" applyAlignment="1" applyProtection="1">
      <alignment horizontal="center" vertical="center" wrapText="1"/>
      <protection/>
    </xf>
    <xf numFmtId="183" fontId="15" fillId="0" borderId="53" xfId="0" applyNumberFormat="1" applyFont="1" applyFill="1" applyBorder="1" applyAlignment="1" applyProtection="1">
      <alignment horizontal="center" vertical="center" wrapText="1" shrinkToFit="1"/>
      <protection/>
    </xf>
    <xf numFmtId="183" fontId="15" fillId="0" borderId="79" xfId="0" applyNumberFormat="1" applyFont="1" applyFill="1" applyBorder="1" applyAlignment="1" applyProtection="1">
      <alignment horizontal="center" vertical="center" wrapText="1" shrinkToFit="1"/>
      <protection/>
    </xf>
    <xf numFmtId="183" fontId="15" fillId="0" borderId="50" xfId="0" applyNumberFormat="1" applyFont="1" applyFill="1" applyBorder="1" applyAlignment="1" applyProtection="1">
      <alignment horizontal="center" vertical="center" wrapText="1" shrinkToFit="1"/>
      <protection/>
    </xf>
    <xf numFmtId="183" fontId="15" fillId="0" borderId="94" xfId="0" applyNumberFormat="1" applyFont="1" applyFill="1" applyBorder="1" applyAlignment="1" applyProtection="1">
      <alignment horizontal="center" vertical="center" wrapText="1" shrinkToFit="1"/>
      <protection/>
    </xf>
    <xf numFmtId="0" fontId="4" fillId="0" borderId="97" xfId="0" applyFont="1" applyBorder="1" applyAlignment="1" applyProtection="1">
      <alignment horizontal="center" shrinkToFit="1"/>
      <protection/>
    </xf>
    <xf numFmtId="0" fontId="4" fillId="0" borderId="98" xfId="0" applyFont="1" applyBorder="1" applyAlignment="1" applyProtection="1">
      <alignment horizontal="center" shrinkToFit="1"/>
      <protection/>
    </xf>
    <xf numFmtId="176" fontId="4" fillId="0" borderId="97" xfId="0" applyNumberFormat="1" applyFont="1" applyBorder="1" applyAlignment="1" applyProtection="1">
      <alignment horizontal="center" shrinkToFit="1"/>
      <protection/>
    </xf>
    <xf numFmtId="176" fontId="4" fillId="0" borderId="98" xfId="0" applyNumberFormat="1" applyFont="1" applyBorder="1" applyAlignment="1" applyProtection="1">
      <alignment horizontal="center" shrinkToFit="1"/>
      <protection/>
    </xf>
    <xf numFmtId="179" fontId="4" fillId="0" borderId="97" xfId="0" applyNumberFormat="1" applyFont="1" applyBorder="1" applyAlignment="1" applyProtection="1">
      <alignment horizontal="center" shrinkToFit="1"/>
      <protection/>
    </xf>
    <xf numFmtId="179" fontId="4" fillId="0" borderId="98" xfId="0" applyNumberFormat="1" applyFont="1" applyBorder="1" applyAlignment="1" applyProtection="1">
      <alignment horizontal="center" shrinkToFit="1"/>
      <protection/>
    </xf>
    <xf numFmtId="183" fontId="15" fillId="0" borderId="51" xfId="0" applyNumberFormat="1" applyFont="1" applyFill="1" applyBorder="1" applyAlignment="1" applyProtection="1">
      <alignment horizontal="center" vertical="center" wrapText="1" shrinkToFit="1"/>
      <protection/>
    </xf>
    <xf numFmtId="183" fontId="15" fillId="0" borderId="77" xfId="0" applyNumberFormat="1" applyFont="1" applyFill="1" applyBorder="1" applyAlignment="1" applyProtection="1">
      <alignment horizontal="center" vertical="center" wrapText="1" shrinkToFit="1"/>
      <protection/>
    </xf>
    <xf numFmtId="0" fontId="36" fillId="0" borderId="18" xfId="0" applyFont="1" applyBorder="1" applyAlignment="1" applyProtection="1">
      <alignment vertical="center" wrapText="1" readingOrder="1"/>
      <protection/>
    </xf>
    <xf numFmtId="0" fontId="0" fillId="0" borderId="18" xfId="0" applyBorder="1" applyAlignment="1">
      <alignment vertical="center" wrapText="1"/>
    </xf>
    <xf numFmtId="0" fontId="0" fillId="0" borderId="0" xfId="0" applyAlignment="1">
      <alignment vertical="center" wrapText="1"/>
    </xf>
    <xf numFmtId="0" fontId="4" fillId="0" borderId="51" xfId="0" applyFont="1" applyBorder="1" applyAlignment="1" applyProtection="1">
      <alignment horizontal="center" vertical="center" wrapText="1"/>
      <protection/>
    </xf>
    <xf numFmtId="0" fontId="4" fillId="0" borderId="54" xfId="0" applyFont="1" applyBorder="1" applyAlignment="1" applyProtection="1">
      <alignment horizontal="center" vertical="center" wrapText="1"/>
      <protection/>
    </xf>
    <xf numFmtId="0" fontId="4" fillId="0" borderId="51" xfId="0" applyFont="1" applyBorder="1" applyAlignment="1" applyProtection="1">
      <alignment horizontal="center" vertical="center" wrapText="1" shrinkToFit="1"/>
      <protection/>
    </xf>
    <xf numFmtId="0" fontId="4" fillId="0" borderId="54" xfId="0" applyFont="1" applyBorder="1" applyAlignment="1" applyProtection="1">
      <alignment horizontal="center" vertical="center" wrapText="1" shrinkToFit="1"/>
      <protection/>
    </xf>
    <xf numFmtId="0" fontId="7" fillId="0" borderId="54" xfId="0" applyFont="1" applyBorder="1" applyAlignment="1" applyProtection="1">
      <alignment horizontal="center" vertical="center" wrapText="1"/>
      <protection/>
    </xf>
    <xf numFmtId="0" fontId="4" fillId="0" borderId="51" xfId="0" applyFont="1" applyBorder="1" applyAlignment="1" applyProtection="1">
      <alignment horizontal="center" vertical="center" shrinkToFit="1"/>
      <protection/>
    </xf>
    <xf numFmtId="0" fontId="4" fillId="0" borderId="54" xfId="0" applyFont="1" applyBorder="1" applyAlignment="1" applyProtection="1">
      <alignment horizontal="center" vertical="center" shrinkToFit="1"/>
      <protection/>
    </xf>
    <xf numFmtId="0" fontId="12" fillId="0" borderId="38" xfId="0" applyFont="1" applyBorder="1" applyAlignment="1" applyProtection="1">
      <alignment horizontal="center" vertical="center" wrapText="1"/>
      <protection/>
    </xf>
    <xf numFmtId="191" fontId="38" fillId="4" borderId="25" xfId="0" applyNumberFormat="1" applyFont="1" applyFill="1" applyBorder="1" applyAlignment="1" applyProtection="1">
      <alignment horizontal="center" vertical="center" shrinkToFit="1"/>
      <protection/>
    </xf>
    <xf numFmtId="191" fontId="38" fillId="4" borderId="22" xfId="0" applyNumberFormat="1" applyFont="1" applyFill="1" applyBorder="1" applyAlignment="1" applyProtection="1">
      <alignment horizontal="center" vertical="center" shrinkToFit="1"/>
      <protection/>
    </xf>
    <xf numFmtId="0" fontId="0" fillId="0" borderId="22" xfId="0" applyBorder="1" applyAlignment="1" applyProtection="1">
      <alignment vertical="center"/>
      <protection/>
    </xf>
    <xf numFmtId="0" fontId="0" fillId="0" borderId="11" xfId="0" applyBorder="1" applyAlignment="1" applyProtection="1">
      <alignment vertical="center"/>
      <protection/>
    </xf>
    <xf numFmtId="0" fontId="0" fillId="0" borderId="0" xfId="0" applyAlignment="1" applyProtection="1">
      <alignment vertical="center" shrinkToFit="1"/>
      <protection/>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vertical="center" wrapText="1"/>
    </xf>
    <xf numFmtId="0" fontId="37" fillId="4" borderId="99" xfId="0" applyFont="1" applyFill="1" applyBorder="1" applyAlignment="1" applyProtection="1">
      <alignment horizontal="center" vertical="center" shrinkToFit="1"/>
      <protection locked="0"/>
    </xf>
    <xf numFmtId="0" fontId="5" fillId="4" borderId="10" xfId="0" applyFont="1" applyFill="1" applyBorder="1" applyAlignment="1" applyProtection="1">
      <alignment horizontal="center" vertical="center" shrinkToFit="1"/>
      <protection/>
    </xf>
    <xf numFmtId="0" fontId="9" fillId="4" borderId="99" xfId="0" applyFont="1" applyFill="1" applyBorder="1" applyAlignment="1" applyProtection="1">
      <alignment horizontal="center" vertical="center" shrinkToFit="1"/>
      <protection locked="0"/>
    </xf>
    <xf numFmtId="191" fontId="5" fillId="4" borderId="25" xfId="0" applyNumberFormat="1" applyFont="1" applyFill="1" applyBorder="1" applyAlignment="1" applyProtection="1">
      <alignment horizontal="center" vertical="center" shrinkToFit="1"/>
      <protection/>
    </xf>
    <xf numFmtId="191" fontId="5" fillId="4" borderId="22" xfId="0" applyNumberFormat="1" applyFont="1" applyFill="1" applyBorder="1" applyAlignment="1" applyProtection="1">
      <alignment horizontal="center" vertical="center" shrinkToFit="1"/>
      <protection/>
    </xf>
    <xf numFmtId="185" fontId="5" fillId="4" borderId="10" xfId="48" applyNumberFormat="1" applyFont="1" applyFill="1" applyBorder="1" applyAlignment="1">
      <alignment horizontal="center" vertical="center" shrinkToFit="1"/>
    </xf>
    <xf numFmtId="0" fontId="4" fillId="4" borderId="10" xfId="0" applyFont="1" applyFill="1" applyBorder="1" applyAlignment="1">
      <alignment horizontal="center" vertical="center" shrinkToFit="1"/>
    </xf>
    <xf numFmtId="0" fontId="45" fillId="4" borderId="10" xfId="0" applyFont="1" applyFill="1" applyBorder="1" applyAlignment="1" applyProtection="1">
      <alignment horizontal="center" vertical="center" shrinkToFit="1"/>
      <protection/>
    </xf>
    <xf numFmtId="0" fontId="81" fillId="4" borderId="10" xfId="0" applyFont="1" applyFill="1" applyBorder="1" applyAlignment="1" applyProtection="1">
      <alignment horizontal="center" vertical="center" shrinkToFit="1"/>
      <protection/>
    </xf>
    <xf numFmtId="0" fontId="82" fillId="25" borderId="10"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ill>
        <patternFill patternType="solid">
          <bgColor indexed="45"/>
        </patternFill>
      </fill>
    </dxf>
    <dxf>
      <fill>
        <patternFill>
          <bgColor indexed="11"/>
        </patternFill>
      </fill>
    </dxf>
    <dxf>
      <fill>
        <patternFill patternType="none">
          <bgColor indexed="65"/>
        </patternFill>
      </fill>
    </dxf>
    <dxf>
      <fill>
        <patternFill>
          <bgColor indexed="45"/>
        </patternFill>
      </fill>
    </dxf>
    <dxf>
      <fill>
        <patternFill>
          <bgColor indexed="11"/>
        </patternFill>
      </fill>
    </dxf>
    <dxf>
      <fill>
        <patternFill patternType="none">
          <bgColor indexed="65"/>
        </patternFill>
      </fill>
    </dxf>
    <dxf>
      <fill>
        <patternFill>
          <bgColor indexed="11"/>
        </patternFill>
      </fill>
    </dxf>
    <dxf>
      <fill>
        <patternFill>
          <bgColor indexed="4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75"/>
          <c:y val="0.0785"/>
          <c:w val="0.64875"/>
          <c:h val="0.70575"/>
        </c:manualLayout>
      </c:layout>
      <c:radarChart>
        <c:radarStyle val="marker"/>
        <c:varyColors val="0"/>
        <c:ser>
          <c:idx val="0"/>
          <c:order val="0"/>
          <c:tx>
            <c:strRef>
              <c:f>'様式'!$BU$60:$BV$60</c:f>
              <c:strCache>
                <c:ptCount val="1"/>
                <c:pt idx="0">
                  <c:v>適正上限</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'様式'!$BW$59:$CB$59</c:f>
              <c:strCache>
                <c:ptCount val="6"/>
                <c:pt idx="0">
                  <c:v>胸高断面積合計</c:v>
                </c:pt>
                <c:pt idx="1">
                  <c:v>相対幹距比</c:v>
                </c:pt>
                <c:pt idx="2">
                  <c:v>形状比</c:v>
                </c:pt>
                <c:pt idx="3">
                  <c:v>樹冠長率</c:v>
                </c:pt>
                <c:pt idx="4">
                  <c:v>胸高直径</c:v>
                </c:pt>
                <c:pt idx="5">
                  <c:v>立木密度</c:v>
                </c:pt>
              </c:strCache>
            </c:strRef>
          </c:cat>
          <c:val>
            <c:numRef>
              <c:f>'様式'!$BW$60:$CB$60</c:f>
              <c:numCache>
                <c:ptCount val="6"/>
                <c:pt idx="0">
                  <c:v>0.62</c:v>
                </c:pt>
                <c:pt idx="1">
                  <c:v>0.62</c:v>
                </c:pt>
                <c:pt idx="2">
                  <c:v>0.62</c:v>
                </c:pt>
                <c:pt idx="3">
                  <c:v>0.62</c:v>
                </c:pt>
                <c:pt idx="4">
                  <c:v>0.62</c:v>
                </c:pt>
                <c:pt idx="5">
                  <c:v>0.62</c:v>
                </c:pt>
              </c:numCache>
            </c:numRef>
          </c:val>
        </c:ser>
        <c:ser>
          <c:idx val="1"/>
          <c:order val="1"/>
          <c:tx>
            <c:strRef>
              <c:f>'様式'!$BU$61:$BV$61</c:f>
              <c:strCache>
                <c:ptCount val="1"/>
                <c:pt idx="0">
                  <c:v>適正下限</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'様式'!$BW$59:$CB$59</c:f>
              <c:strCache>
                <c:ptCount val="6"/>
                <c:pt idx="0">
                  <c:v>胸高断面積合計</c:v>
                </c:pt>
                <c:pt idx="1">
                  <c:v>相対幹距比</c:v>
                </c:pt>
                <c:pt idx="2">
                  <c:v>形状比</c:v>
                </c:pt>
                <c:pt idx="3">
                  <c:v>樹冠長率</c:v>
                </c:pt>
                <c:pt idx="4">
                  <c:v>胸高直径</c:v>
                </c:pt>
                <c:pt idx="5">
                  <c:v>立木密度</c:v>
                </c:pt>
              </c:strCache>
            </c:strRef>
          </c:cat>
          <c:val>
            <c:numRef>
              <c:f>'様式'!$BW$61:$CB$61</c:f>
              <c:numCache>
                <c:ptCount val="6"/>
                <c:pt idx="0">
                  <c:v>0.38</c:v>
                </c:pt>
                <c:pt idx="1">
                  <c:v>0.38</c:v>
                </c:pt>
                <c:pt idx="2">
                  <c:v>0.38</c:v>
                </c:pt>
                <c:pt idx="3">
                  <c:v>0.38</c:v>
                </c:pt>
                <c:pt idx="4">
                  <c:v>0.38</c:v>
                </c:pt>
                <c:pt idx="5">
                  <c:v>0.38</c:v>
                </c:pt>
              </c:numCache>
            </c:numRef>
          </c:val>
        </c:ser>
        <c:ser>
          <c:idx val="2"/>
          <c:order val="2"/>
          <c:tx>
            <c:strRef>
              <c:f>'様式'!$BU$62:$BV$62</c:f>
              <c:strCache>
                <c:ptCount val="1"/>
                <c:pt idx="0">
                  <c:v>限界値</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'様式'!$BW$59:$CB$59</c:f>
              <c:strCache>
                <c:ptCount val="6"/>
                <c:pt idx="0">
                  <c:v>胸高断面積合計</c:v>
                </c:pt>
                <c:pt idx="1">
                  <c:v>相対幹距比</c:v>
                </c:pt>
                <c:pt idx="2">
                  <c:v>形状比</c:v>
                </c:pt>
                <c:pt idx="3">
                  <c:v>樹冠長率</c:v>
                </c:pt>
                <c:pt idx="4">
                  <c:v>胸高直径</c:v>
                </c:pt>
                <c:pt idx="5">
                  <c:v>立木密度</c:v>
                </c:pt>
              </c:strCache>
            </c:strRef>
          </c:cat>
          <c:val>
            <c:numRef>
              <c:f>'様式'!$BW$62:$CB$62</c:f>
              <c:numCache>
                <c:ptCount val="6"/>
                <c:pt idx="2">
                  <c:v>0.7</c:v>
                </c:pt>
                <c:pt idx="3">
                  <c:v>0.7</c:v>
                </c:pt>
                <c:pt idx="4">
                  <c:v>0.7</c:v>
                </c:pt>
              </c:numCache>
            </c:numRef>
          </c:val>
        </c:ser>
        <c:ser>
          <c:idx val="3"/>
          <c:order val="3"/>
          <c:tx>
            <c:strRef>
              <c:f>'様式'!$BU$63:$BV$63</c:f>
              <c:strCache>
                <c:ptCount val="1"/>
                <c:pt idx="0">
                  <c:v>限界値</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'様式'!$BW$59:$CB$59</c:f>
              <c:strCache>
                <c:ptCount val="6"/>
                <c:pt idx="0">
                  <c:v>胸高断面積合計</c:v>
                </c:pt>
                <c:pt idx="1">
                  <c:v>相対幹距比</c:v>
                </c:pt>
                <c:pt idx="2">
                  <c:v>形状比</c:v>
                </c:pt>
                <c:pt idx="3">
                  <c:v>樹冠長率</c:v>
                </c:pt>
                <c:pt idx="4">
                  <c:v>胸高直径</c:v>
                </c:pt>
                <c:pt idx="5">
                  <c:v>立木密度</c:v>
                </c:pt>
              </c:strCache>
            </c:strRef>
          </c:cat>
          <c:val>
            <c:numRef>
              <c:f>'様式'!$BW$63:$CB$63</c:f>
              <c:numCache>
                <c:ptCount val="6"/>
                <c:pt idx="2">
                  <c:v>0.3</c:v>
                </c:pt>
                <c:pt idx="3">
                  <c:v>0.3</c:v>
                </c:pt>
                <c:pt idx="4">
                  <c:v>0.3</c:v>
                </c:pt>
              </c:numCache>
            </c:numRef>
          </c:val>
        </c:ser>
        <c:ser>
          <c:idx val="4"/>
          <c:order val="4"/>
          <c:tx>
            <c:strRef>
              <c:f>'様式'!$BU$64:$BV$64</c:f>
              <c:strCache>
                <c:ptCount val="1"/>
                <c:pt idx="0">
                  <c:v>間伐前</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'様式'!$BW$59:$CB$59</c:f>
              <c:strCache>
                <c:ptCount val="6"/>
                <c:pt idx="0">
                  <c:v>胸高断面積合計</c:v>
                </c:pt>
                <c:pt idx="1">
                  <c:v>相対幹距比</c:v>
                </c:pt>
                <c:pt idx="2">
                  <c:v>形状比</c:v>
                </c:pt>
                <c:pt idx="3">
                  <c:v>樹冠長率</c:v>
                </c:pt>
                <c:pt idx="4">
                  <c:v>胸高直径</c:v>
                </c:pt>
                <c:pt idx="5">
                  <c:v>立木密度</c:v>
                </c:pt>
              </c:strCache>
            </c:strRef>
          </c:cat>
          <c:val>
            <c:numRef>
              <c:f>'様式'!$BW$64:$CB$64</c:f>
              <c:numCache>
                <c:ptCount val="6"/>
                <c:pt idx="0">
                  <c:v>0</c:v>
                </c:pt>
                <c:pt idx="1">
                  <c:v>0</c:v>
                </c:pt>
                <c:pt idx="2">
                  <c:v>0</c:v>
                </c:pt>
                <c:pt idx="3">
                  <c:v>0</c:v>
                </c:pt>
                <c:pt idx="4">
                  <c:v>0</c:v>
                </c:pt>
                <c:pt idx="5">
                  <c:v>0</c:v>
                </c:pt>
              </c:numCache>
            </c:numRef>
          </c:val>
        </c:ser>
        <c:ser>
          <c:idx val="5"/>
          <c:order val="5"/>
          <c:tx>
            <c:strRef>
              <c:f>'様式'!$BU$65:$BV$65</c:f>
              <c:strCache>
                <c:ptCount val="1"/>
                <c:pt idx="0">
                  <c:v>間伐後</c:v>
                </c:pt>
              </c:strCache>
            </c:strRef>
          </c:tx>
          <c:spPr>
            <a:ln w="381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'様式'!$BW$59:$CB$59</c:f>
              <c:strCache>
                <c:ptCount val="6"/>
                <c:pt idx="0">
                  <c:v>胸高断面積合計</c:v>
                </c:pt>
                <c:pt idx="1">
                  <c:v>相対幹距比</c:v>
                </c:pt>
                <c:pt idx="2">
                  <c:v>形状比</c:v>
                </c:pt>
                <c:pt idx="3">
                  <c:v>樹冠長率</c:v>
                </c:pt>
                <c:pt idx="4">
                  <c:v>胸高直径</c:v>
                </c:pt>
                <c:pt idx="5">
                  <c:v>立木密度</c:v>
                </c:pt>
              </c:strCache>
            </c:strRef>
          </c:cat>
          <c:val>
            <c:numRef>
              <c:f>'様式'!$BW$65:$CB$65</c:f>
              <c:numCache>
                <c:ptCount val="6"/>
                <c:pt idx="0">
                  <c:v>0</c:v>
                </c:pt>
                <c:pt idx="1">
                  <c:v>0</c:v>
                </c:pt>
                <c:pt idx="2">
                  <c:v>0</c:v>
                </c:pt>
                <c:pt idx="3">
                  <c:v>0</c:v>
                </c:pt>
                <c:pt idx="4">
                  <c:v>0</c:v>
                </c:pt>
                <c:pt idx="5">
                  <c:v>0</c:v>
                </c:pt>
              </c:numCache>
            </c:numRef>
          </c:val>
        </c:ser>
        <c:ser>
          <c:idx val="6"/>
          <c:order val="6"/>
          <c:tx>
            <c:strRef>
              <c:f>'様式'!$BU$66:$BV$66</c:f>
              <c:strCache>
                <c:ptCount val="1"/>
                <c:pt idx="0">
                  <c:v>１０年先の間伐前</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'様式'!$BW$59:$CB$59</c:f>
              <c:strCache>
                <c:ptCount val="6"/>
                <c:pt idx="0">
                  <c:v>胸高断面積合計</c:v>
                </c:pt>
                <c:pt idx="1">
                  <c:v>相対幹距比</c:v>
                </c:pt>
                <c:pt idx="2">
                  <c:v>形状比</c:v>
                </c:pt>
                <c:pt idx="3">
                  <c:v>樹冠長率</c:v>
                </c:pt>
                <c:pt idx="4">
                  <c:v>胸高直径</c:v>
                </c:pt>
                <c:pt idx="5">
                  <c:v>立木密度</c:v>
                </c:pt>
              </c:strCache>
            </c:strRef>
          </c:cat>
          <c:val>
            <c:numRef>
              <c:f>'様式'!$BW$66:$CB$66</c:f>
              <c:numCache>
                <c:ptCount val="6"/>
                <c:pt idx="0">
                  <c:v>0</c:v>
                </c:pt>
                <c:pt idx="1">
                  <c:v>0</c:v>
                </c:pt>
                <c:pt idx="2">
                  <c:v>0.09523809523809523</c:v>
                </c:pt>
                <c:pt idx="3">
                  <c:v>1</c:v>
                </c:pt>
                <c:pt idx="4">
                  <c:v>2.625</c:v>
                </c:pt>
                <c:pt idx="5">
                  <c:v>0</c:v>
                </c:pt>
              </c:numCache>
            </c:numRef>
          </c:val>
        </c:ser>
        <c:ser>
          <c:idx val="7"/>
          <c:order val="7"/>
          <c:tx>
            <c:strRef>
              <c:f>'様式'!$BU$67:$BV$67</c:f>
              <c:strCache>
                <c:ptCount val="1"/>
                <c:pt idx="0">
                  <c:v>１０年先の間伐後</c:v>
                </c:pt>
              </c:strCache>
            </c:strRef>
          </c:tx>
          <c:spPr>
            <a:ln w="381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'様式'!$BW$59:$CB$59</c:f>
              <c:strCache>
                <c:ptCount val="6"/>
                <c:pt idx="0">
                  <c:v>胸高断面積合計</c:v>
                </c:pt>
                <c:pt idx="1">
                  <c:v>相対幹距比</c:v>
                </c:pt>
                <c:pt idx="2">
                  <c:v>形状比</c:v>
                </c:pt>
                <c:pt idx="3">
                  <c:v>樹冠長率</c:v>
                </c:pt>
                <c:pt idx="4">
                  <c:v>胸高直径</c:v>
                </c:pt>
                <c:pt idx="5">
                  <c:v>立木密度</c:v>
                </c:pt>
              </c:strCache>
            </c:strRef>
          </c:cat>
          <c:val>
            <c:numRef>
              <c:f>'様式'!$BW$67:$CB$67</c:f>
              <c:numCache>
                <c:ptCount val="6"/>
                <c:pt idx="0">
                  <c:v>0</c:v>
                </c:pt>
                <c:pt idx="1">
                  <c:v>0</c:v>
                </c:pt>
                <c:pt idx="2">
                  <c:v>0.09523809523809523</c:v>
                </c:pt>
                <c:pt idx="3">
                  <c:v>1</c:v>
                </c:pt>
                <c:pt idx="4">
                  <c:v>2.625</c:v>
                </c:pt>
                <c:pt idx="5">
                  <c:v>0</c:v>
                </c:pt>
              </c:numCache>
            </c:numRef>
          </c:val>
        </c:ser>
        <c:axId val="48355334"/>
        <c:axId val="32544823"/>
      </c:radarChart>
      <c:catAx>
        <c:axId val="4835533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575" b="0" i="0" u="none" baseline="0">
                <a:solidFill>
                  <a:srgbClr val="000000"/>
                </a:solidFill>
                <a:latin typeface="ＭＳ Ｐゴシック"/>
                <a:ea typeface="ＭＳ Ｐゴシック"/>
                <a:cs typeface="ＭＳ Ｐゴシック"/>
              </a:defRPr>
            </a:pPr>
          </a:p>
        </c:txPr>
        <c:crossAx val="32544823"/>
        <c:crosses val="autoZero"/>
        <c:auto val="0"/>
        <c:lblOffset val="100"/>
        <c:tickLblSkip val="1"/>
        <c:noMultiLvlLbl val="0"/>
      </c:catAx>
      <c:valAx>
        <c:axId val="32544823"/>
        <c:scaling>
          <c:orientation val="minMax"/>
          <c:max val="1"/>
          <c:min val="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400" b="0" i="0" u="none" baseline="0">
                <a:solidFill>
                  <a:srgbClr val="000000"/>
                </a:solidFill>
                <a:latin typeface="ＭＳ Ｐゴシック"/>
                <a:ea typeface="ＭＳ Ｐゴシック"/>
                <a:cs typeface="ＭＳ Ｐゴシック"/>
              </a:defRPr>
            </a:pPr>
          </a:p>
        </c:txPr>
        <c:crossAx val="48355334"/>
        <c:crossesAt val="1"/>
        <c:crossBetween val="between"/>
        <c:dispUnits/>
        <c:majorUnit val="0.2"/>
      </c:valAx>
      <c:spPr>
        <a:noFill/>
        <a:ln>
          <a:noFill/>
        </a:ln>
      </c:spPr>
    </c:plotArea>
    <c:legend>
      <c:legendPos val="b"/>
      <c:legendEntry>
        <c:idx val="0"/>
        <c:txPr>
          <a:bodyPr vert="horz" rot="0"/>
          <a:lstStyle/>
          <a:p>
            <a:pPr>
              <a:defRPr lang="en-US" cap="none" sz="825" b="0" i="0" u="none" baseline="0">
                <a:solidFill>
                  <a:srgbClr val="000000"/>
                </a:solidFill>
                <a:latin typeface="ＭＳ Ｐゴシック"/>
                <a:ea typeface="ＭＳ Ｐゴシック"/>
                <a:cs typeface="ＭＳ Ｐゴシック"/>
              </a:defRPr>
            </a:pPr>
          </a:p>
        </c:txPr>
      </c:legendEntry>
      <c:legendEntry>
        <c:idx val="1"/>
        <c:txPr>
          <a:bodyPr vert="horz" rot="0"/>
          <a:lstStyle/>
          <a:p>
            <a:pPr>
              <a:defRPr lang="en-US" cap="none" sz="825" b="0" i="0" u="none" baseline="0">
                <a:solidFill>
                  <a:srgbClr val="000000"/>
                </a:solidFill>
                <a:latin typeface="ＭＳ Ｐゴシック"/>
                <a:ea typeface="ＭＳ Ｐゴシック"/>
                <a:cs typeface="ＭＳ Ｐゴシック"/>
              </a:defRPr>
            </a:pPr>
          </a:p>
        </c:txPr>
      </c:legendEntry>
      <c:layout>
        <c:manualLayout>
          <c:xMode val="edge"/>
          <c:yMode val="edge"/>
          <c:x val="0.15425"/>
          <c:y val="0.8825"/>
          <c:w val="0.69925"/>
          <c:h val="0.11575"/>
        </c:manualLayout>
      </c:layout>
      <c:overlay val="0"/>
      <c:spPr>
        <a:solidFill>
          <a:srgbClr val="FFFFFF"/>
        </a:solidFill>
        <a:ln w="3175">
          <a:solidFill>
            <a:srgbClr val="000000"/>
          </a:solidFill>
        </a:ln>
      </c:spPr>
      <c:txPr>
        <a:bodyPr vert="horz" rot="0"/>
        <a:lstStyle/>
        <a:p>
          <a:pPr>
            <a:defRPr lang="en-US" cap="none" sz="108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425"/>
          <c:y val="0.08475"/>
          <c:w val="0.6405"/>
          <c:h val="0.72925"/>
        </c:manualLayout>
      </c:layout>
      <c:radarChart>
        <c:radarStyle val="standard"/>
        <c:varyColors val="0"/>
        <c:ser>
          <c:idx val="0"/>
          <c:order val="0"/>
          <c:tx>
            <c:strRef>
              <c:f>'記入例'!$BU$60:$BV$60</c:f>
              <c:strCache>
                <c:ptCount val="1"/>
                <c:pt idx="0">
                  <c:v>適正上限</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'記入例'!$BW$59:$CB$59</c:f>
              <c:strCache>
                <c:ptCount val="6"/>
                <c:pt idx="0">
                  <c:v>胸高断面積合計</c:v>
                </c:pt>
                <c:pt idx="1">
                  <c:v>相対幹距比</c:v>
                </c:pt>
                <c:pt idx="2">
                  <c:v>形状比</c:v>
                </c:pt>
                <c:pt idx="3">
                  <c:v>樹冠長率</c:v>
                </c:pt>
                <c:pt idx="4">
                  <c:v>胸高直径</c:v>
                </c:pt>
                <c:pt idx="5">
                  <c:v>立木密度</c:v>
                </c:pt>
              </c:strCache>
            </c:strRef>
          </c:cat>
          <c:val>
            <c:numRef>
              <c:f>'記入例'!$BW$60:$CB$60</c:f>
              <c:numCache>
                <c:ptCount val="6"/>
                <c:pt idx="0">
                  <c:v>0.62</c:v>
                </c:pt>
                <c:pt idx="1">
                  <c:v>0.62</c:v>
                </c:pt>
                <c:pt idx="2">
                  <c:v>0.62</c:v>
                </c:pt>
                <c:pt idx="3">
                  <c:v>0.62</c:v>
                </c:pt>
                <c:pt idx="4">
                  <c:v>0.62</c:v>
                </c:pt>
                <c:pt idx="5">
                  <c:v>0.62</c:v>
                </c:pt>
              </c:numCache>
            </c:numRef>
          </c:val>
        </c:ser>
        <c:ser>
          <c:idx val="1"/>
          <c:order val="1"/>
          <c:tx>
            <c:strRef>
              <c:f>'記入例'!$BU$61:$BV$61</c:f>
              <c:strCache>
                <c:ptCount val="1"/>
                <c:pt idx="0">
                  <c:v>適正下限</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'記入例'!$BW$59:$CB$59</c:f>
              <c:strCache>
                <c:ptCount val="6"/>
                <c:pt idx="0">
                  <c:v>胸高断面積合計</c:v>
                </c:pt>
                <c:pt idx="1">
                  <c:v>相対幹距比</c:v>
                </c:pt>
                <c:pt idx="2">
                  <c:v>形状比</c:v>
                </c:pt>
                <c:pt idx="3">
                  <c:v>樹冠長率</c:v>
                </c:pt>
                <c:pt idx="4">
                  <c:v>胸高直径</c:v>
                </c:pt>
                <c:pt idx="5">
                  <c:v>立木密度</c:v>
                </c:pt>
              </c:strCache>
            </c:strRef>
          </c:cat>
          <c:val>
            <c:numRef>
              <c:f>'記入例'!$BW$61:$CB$61</c:f>
              <c:numCache>
                <c:ptCount val="6"/>
                <c:pt idx="0">
                  <c:v>0.38</c:v>
                </c:pt>
                <c:pt idx="1">
                  <c:v>0.38</c:v>
                </c:pt>
                <c:pt idx="2">
                  <c:v>0.38</c:v>
                </c:pt>
                <c:pt idx="3">
                  <c:v>0.38</c:v>
                </c:pt>
                <c:pt idx="4">
                  <c:v>0.38</c:v>
                </c:pt>
                <c:pt idx="5">
                  <c:v>0.38</c:v>
                </c:pt>
              </c:numCache>
            </c:numRef>
          </c:val>
        </c:ser>
        <c:ser>
          <c:idx val="2"/>
          <c:order val="2"/>
          <c:tx>
            <c:strRef>
              <c:f>'記入例'!$BU$62:$BV$62</c:f>
              <c:strCache>
                <c:ptCount val="1"/>
                <c:pt idx="0">
                  <c:v>限界値</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'記入例'!$BW$59:$CB$59</c:f>
              <c:strCache>
                <c:ptCount val="6"/>
                <c:pt idx="0">
                  <c:v>胸高断面積合計</c:v>
                </c:pt>
                <c:pt idx="1">
                  <c:v>相対幹距比</c:v>
                </c:pt>
                <c:pt idx="2">
                  <c:v>形状比</c:v>
                </c:pt>
                <c:pt idx="3">
                  <c:v>樹冠長率</c:v>
                </c:pt>
                <c:pt idx="4">
                  <c:v>胸高直径</c:v>
                </c:pt>
                <c:pt idx="5">
                  <c:v>立木密度</c:v>
                </c:pt>
              </c:strCache>
            </c:strRef>
          </c:cat>
          <c:val>
            <c:numRef>
              <c:f>'記入例'!$BW$62:$CB$62</c:f>
              <c:numCache>
                <c:ptCount val="6"/>
                <c:pt idx="2">
                  <c:v>0.7</c:v>
                </c:pt>
                <c:pt idx="3">
                  <c:v>0.7</c:v>
                </c:pt>
                <c:pt idx="4">
                  <c:v>0.7</c:v>
                </c:pt>
              </c:numCache>
            </c:numRef>
          </c:val>
        </c:ser>
        <c:ser>
          <c:idx val="3"/>
          <c:order val="3"/>
          <c:tx>
            <c:strRef>
              <c:f>'記入例'!$BU$63:$BV$63</c:f>
              <c:strCache>
                <c:ptCount val="1"/>
                <c:pt idx="0">
                  <c:v>限界値</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'記入例'!$BW$59:$CB$59</c:f>
              <c:strCache>
                <c:ptCount val="6"/>
                <c:pt idx="0">
                  <c:v>胸高断面積合計</c:v>
                </c:pt>
                <c:pt idx="1">
                  <c:v>相対幹距比</c:v>
                </c:pt>
                <c:pt idx="2">
                  <c:v>形状比</c:v>
                </c:pt>
                <c:pt idx="3">
                  <c:v>樹冠長率</c:v>
                </c:pt>
                <c:pt idx="4">
                  <c:v>胸高直径</c:v>
                </c:pt>
                <c:pt idx="5">
                  <c:v>立木密度</c:v>
                </c:pt>
              </c:strCache>
            </c:strRef>
          </c:cat>
          <c:val>
            <c:numRef>
              <c:f>'記入例'!$BW$63:$CB$63</c:f>
              <c:numCache>
                <c:ptCount val="6"/>
                <c:pt idx="2">
                  <c:v>0.3</c:v>
                </c:pt>
                <c:pt idx="3">
                  <c:v>0.3</c:v>
                </c:pt>
                <c:pt idx="4">
                  <c:v>0.3</c:v>
                </c:pt>
              </c:numCache>
            </c:numRef>
          </c:val>
        </c:ser>
        <c:ser>
          <c:idx val="4"/>
          <c:order val="4"/>
          <c:tx>
            <c:strRef>
              <c:f>'記入例'!$BU$64:$BV$64</c:f>
              <c:strCache>
                <c:ptCount val="1"/>
                <c:pt idx="0">
                  <c:v>間伐前</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'記入例'!$BW$59:$CB$59</c:f>
              <c:strCache>
                <c:ptCount val="6"/>
                <c:pt idx="0">
                  <c:v>胸高断面積合計</c:v>
                </c:pt>
                <c:pt idx="1">
                  <c:v>相対幹距比</c:v>
                </c:pt>
                <c:pt idx="2">
                  <c:v>形状比</c:v>
                </c:pt>
                <c:pt idx="3">
                  <c:v>樹冠長率</c:v>
                </c:pt>
                <c:pt idx="4">
                  <c:v>胸高直径</c:v>
                </c:pt>
                <c:pt idx="5">
                  <c:v>立木密度</c:v>
                </c:pt>
              </c:strCache>
            </c:strRef>
          </c:cat>
          <c:val>
            <c:numRef>
              <c:f>'記入例'!$BW$64:$CB$64</c:f>
              <c:numCache>
                <c:ptCount val="6"/>
                <c:pt idx="0">
                  <c:v>0.8137641444444446</c:v>
                </c:pt>
                <c:pt idx="1">
                  <c:v>0.37538777235696125</c:v>
                </c:pt>
                <c:pt idx="2">
                  <c:v>0.6513394354722767</c:v>
                </c:pt>
                <c:pt idx="3">
                  <c:v>0.3358348968105063</c:v>
                </c:pt>
                <c:pt idx="4">
                  <c:v>0.38382444910421964</c:v>
                </c:pt>
                <c:pt idx="5">
                  <c:v>0.7539925035042092</c:v>
                </c:pt>
              </c:numCache>
            </c:numRef>
          </c:val>
        </c:ser>
        <c:ser>
          <c:idx val="5"/>
          <c:order val="5"/>
          <c:tx>
            <c:strRef>
              <c:f>'記入例'!$BU$65:$BV$65</c:f>
              <c:strCache>
                <c:ptCount val="1"/>
                <c:pt idx="0">
                  <c:v>間伐後</c:v>
                </c:pt>
              </c:strCache>
            </c:strRef>
          </c:tx>
          <c:spPr>
            <a:ln w="381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'記入例'!$BW$59:$CB$59</c:f>
              <c:strCache>
                <c:ptCount val="6"/>
                <c:pt idx="0">
                  <c:v>胸高断面積合計</c:v>
                </c:pt>
                <c:pt idx="1">
                  <c:v>相対幹距比</c:v>
                </c:pt>
                <c:pt idx="2">
                  <c:v>形状比</c:v>
                </c:pt>
                <c:pt idx="3">
                  <c:v>樹冠長率</c:v>
                </c:pt>
                <c:pt idx="4">
                  <c:v>胸高直径</c:v>
                </c:pt>
                <c:pt idx="5">
                  <c:v>立木密度</c:v>
                </c:pt>
              </c:strCache>
            </c:strRef>
          </c:cat>
          <c:val>
            <c:numRef>
              <c:f>'記入例'!$BW$65:$CB$65</c:f>
              <c:numCache>
                <c:ptCount val="6"/>
                <c:pt idx="0">
                  <c:v>0.550321851388889</c:v>
                </c:pt>
                <c:pt idx="1">
                  <c:v>0.5068665100027858</c:v>
                </c:pt>
                <c:pt idx="2">
                  <c:v>0.5721027386662538</c:v>
                </c:pt>
                <c:pt idx="3">
                  <c:v>0.35632183908045945</c:v>
                </c:pt>
                <c:pt idx="4">
                  <c:v>0.4369844489519947</c:v>
                </c:pt>
                <c:pt idx="5">
                  <c:v>0.5360518153110082</c:v>
                </c:pt>
              </c:numCache>
            </c:numRef>
          </c:val>
        </c:ser>
        <c:ser>
          <c:idx val="6"/>
          <c:order val="6"/>
          <c:tx>
            <c:strRef>
              <c:f>'記入例'!$BU$66:$BV$66</c:f>
              <c:strCache>
                <c:ptCount val="1"/>
                <c:pt idx="0">
                  <c:v>１０年先の間伐前</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'記入例'!$BW$59:$CB$59</c:f>
              <c:strCache>
                <c:ptCount val="6"/>
                <c:pt idx="0">
                  <c:v>胸高断面積合計</c:v>
                </c:pt>
                <c:pt idx="1">
                  <c:v>相対幹距比</c:v>
                </c:pt>
                <c:pt idx="2">
                  <c:v>形状比</c:v>
                </c:pt>
                <c:pt idx="3">
                  <c:v>樹冠長率</c:v>
                </c:pt>
                <c:pt idx="4">
                  <c:v>胸高直径</c:v>
                </c:pt>
                <c:pt idx="5">
                  <c:v>立木密度</c:v>
                </c:pt>
              </c:strCache>
            </c:strRef>
          </c:cat>
          <c:val>
            <c:numRef>
              <c:f>'記入例'!$BW$66:$CB$66</c:f>
              <c:numCache>
                <c:ptCount val="6"/>
                <c:pt idx="0">
                  <c:v>0.7120668864041887</c:v>
                </c:pt>
                <c:pt idx="1">
                  <c:v>0.4503911328437011</c:v>
                </c:pt>
                <c:pt idx="2">
                  <c:v>0.5980987847902782</c:v>
                </c:pt>
                <c:pt idx="3">
                  <c:v>0.42804085422469795</c:v>
                </c:pt>
                <c:pt idx="4">
                  <c:v>0.41799115189251196</c:v>
                </c:pt>
                <c:pt idx="5">
                  <c:v>0.7120668864041886</c:v>
                </c:pt>
              </c:numCache>
            </c:numRef>
          </c:val>
        </c:ser>
        <c:ser>
          <c:idx val="7"/>
          <c:order val="7"/>
          <c:tx>
            <c:strRef>
              <c:f>'記入例'!$BU$67:$BV$67</c:f>
              <c:strCache>
                <c:ptCount val="1"/>
                <c:pt idx="0">
                  <c:v>１０年先の間伐後</c:v>
                </c:pt>
              </c:strCache>
            </c:strRef>
          </c:tx>
          <c:spPr>
            <a:ln w="381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'記入例'!$BW$59:$CB$59</c:f>
              <c:strCache>
                <c:ptCount val="6"/>
                <c:pt idx="0">
                  <c:v>胸高断面積合計</c:v>
                </c:pt>
                <c:pt idx="1">
                  <c:v>相対幹距比</c:v>
                </c:pt>
                <c:pt idx="2">
                  <c:v>形状比</c:v>
                </c:pt>
                <c:pt idx="3">
                  <c:v>樹冠長率</c:v>
                </c:pt>
                <c:pt idx="4">
                  <c:v>胸高直径</c:v>
                </c:pt>
                <c:pt idx="5">
                  <c:v>立木密度</c:v>
                </c:pt>
              </c:strCache>
            </c:strRef>
          </c:cat>
          <c:val>
            <c:numRef>
              <c:f>'記入例'!$BW$67:$CB$67</c:f>
              <c:numCache>
                <c:ptCount val="6"/>
                <c:pt idx="0">
                  <c:v>0.52083728201903</c:v>
                </c:pt>
                <c:pt idx="1">
                  <c:v>0.538320367365319</c:v>
                </c:pt>
                <c:pt idx="2">
                  <c:v>0.5851016234181259</c:v>
                </c:pt>
                <c:pt idx="3">
                  <c:v>0.42804085422469795</c:v>
                </c:pt>
                <c:pt idx="4">
                  <c:v>0.42727620296029284</c:v>
                </c:pt>
                <c:pt idx="5">
                  <c:v>0.52083728201903</c:v>
                </c:pt>
              </c:numCache>
            </c:numRef>
          </c:val>
        </c:ser>
        <c:axId val="24467952"/>
        <c:axId val="18884977"/>
      </c:radarChart>
      <c:catAx>
        <c:axId val="24467952"/>
        <c:scaling>
          <c:orientation val="minMax"/>
        </c:scaling>
        <c:axPos val="b"/>
        <c:majorGridlines/>
        <c:delete val="0"/>
        <c:numFmt formatCode="General" sourceLinked="1"/>
        <c:majorTickMark val="in"/>
        <c:minorTickMark val="none"/>
        <c:tickLblPos val="nextTo"/>
        <c:txPr>
          <a:bodyPr/>
          <a:lstStyle/>
          <a:p>
            <a:pPr>
              <a:defRPr lang="en-US" cap="none" sz="1800" b="0" i="0" u="none" baseline="0">
                <a:latin typeface="ＭＳ Ｐゴシック"/>
                <a:ea typeface="ＭＳ Ｐゴシック"/>
                <a:cs typeface="ＭＳ Ｐゴシック"/>
              </a:defRPr>
            </a:pPr>
          </a:p>
        </c:txPr>
        <c:crossAx val="18884977"/>
        <c:crosses val="autoZero"/>
        <c:auto val="1"/>
        <c:lblOffset val="100"/>
        <c:noMultiLvlLbl val="0"/>
      </c:catAx>
      <c:valAx>
        <c:axId val="18884977"/>
        <c:scaling>
          <c:orientation val="minMax"/>
          <c:max val="1"/>
        </c:scaling>
        <c:axPos val="l"/>
        <c:majorGridlines/>
        <c:delete val="0"/>
        <c:numFmt formatCode="General" sourceLinked="1"/>
        <c:majorTickMark val="cross"/>
        <c:minorTickMark val="none"/>
        <c:tickLblPos val="nextTo"/>
        <c:crossAx val="24467952"/>
        <c:crossesAt val="1"/>
        <c:crossBetween val="between"/>
        <c:dispUnits/>
        <c:majorUnit val="0.2"/>
      </c:valAx>
      <c:spPr>
        <a:noFill/>
        <a:ln>
          <a:noFill/>
        </a:ln>
      </c:spPr>
    </c:plotArea>
    <c:legend>
      <c:legendPos val="b"/>
      <c:legendEntry>
        <c:idx val="0"/>
        <c:txPr>
          <a:bodyPr vert="horz" rot="0"/>
          <a:lstStyle/>
          <a:p>
            <a:pPr>
              <a:defRPr lang="en-US" cap="none" sz="1100" b="0" i="0" u="none" baseline="0">
                <a:latin typeface="ＭＳ Ｐゴシック"/>
                <a:ea typeface="ＭＳ Ｐゴシック"/>
                <a:cs typeface="ＭＳ Ｐゴシック"/>
              </a:defRPr>
            </a:pPr>
          </a:p>
        </c:txPr>
      </c:legendEntry>
      <c:legendEntry>
        <c:idx val="1"/>
        <c:txPr>
          <a:bodyPr vert="horz" rot="0"/>
          <a:lstStyle/>
          <a:p>
            <a:pPr>
              <a:defRPr lang="en-US" cap="none" sz="1100" b="0" i="0" u="none" baseline="0">
                <a:latin typeface="ＭＳ Ｐゴシック"/>
                <a:ea typeface="ＭＳ Ｐゴシック"/>
                <a:cs typeface="ＭＳ Ｐゴシック"/>
              </a:defRPr>
            </a:pPr>
          </a:p>
        </c:txPr>
      </c:legendEntry>
      <c:legendEntry>
        <c:idx val="2"/>
        <c:txPr>
          <a:bodyPr vert="horz" rot="0"/>
          <a:lstStyle/>
          <a:p>
            <a:pPr>
              <a:defRPr lang="en-US" cap="none" sz="1100" b="0" i="0" u="none" baseline="0">
                <a:latin typeface="ＭＳ Ｐゴシック"/>
                <a:ea typeface="ＭＳ Ｐゴシック"/>
                <a:cs typeface="ＭＳ Ｐゴシック"/>
              </a:defRPr>
            </a:pPr>
          </a:p>
        </c:txPr>
      </c:legendEntry>
      <c:legendEntry>
        <c:idx val="3"/>
        <c:txPr>
          <a:bodyPr vert="horz" rot="0"/>
          <a:lstStyle/>
          <a:p>
            <a:pPr>
              <a:defRPr lang="en-US" cap="none" sz="1100" b="0" i="0" u="none" baseline="0">
                <a:latin typeface="ＭＳ Ｐゴシック"/>
                <a:ea typeface="ＭＳ Ｐゴシック"/>
                <a:cs typeface="ＭＳ Ｐゴシック"/>
              </a:defRPr>
            </a:pPr>
          </a:p>
        </c:txPr>
      </c:legendEntry>
      <c:legendEntry>
        <c:idx val="4"/>
        <c:txPr>
          <a:bodyPr vert="horz" rot="0"/>
          <a:lstStyle/>
          <a:p>
            <a:pPr>
              <a:defRPr lang="en-US" cap="none" sz="1600" b="0" i="0" u="none" baseline="0">
                <a:latin typeface="ＭＳ Ｐゴシック"/>
                <a:ea typeface="ＭＳ Ｐゴシック"/>
                <a:cs typeface="ＭＳ Ｐゴシック"/>
              </a:defRPr>
            </a:pPr>
          </a:p>
        </c:txPr>
      </c:legendEntry>
      <c:legendEntry>
        <c:idx val="5"/>
        <c:txPr>
          <a:bodyPr vert="horz" rot="0"/>
          <a:lstStyle/>
          <a:p>
            <a:pPr>
              <a:defRPr lang="en-US" cap="none" sz="1400" b="0" i="0" u="none" baseline="0">
                <a:latin typeface="ＭＳ Ｐゴシック"/>
                <a:ea typeface="ＭＳ Ｐゴシック"/>
                <a:cs typeface="ＭＳ Ｐゴシック"/>
              </a:defRPr>
            </a:pPr>
          </a:p>
        </c:txPr>
      </c:legendEntry>
      <c:legendEntry>
        <c:idx val="6"/>
        <c:txPr>
          <a:bodyPr vert="horz" rot="0"/>
          <a:lstStyle/>
          <a:p>
            <a:pPr>
              <a:defRPr lang="en-US" cap="none" sz="1400" b="0" i="0" u="none" baseline="0">
                <a:latin typeface="ＭＳ Ｐゴシック"/>
                <a:ea typeface="ＭＳ Ｐゴシック"/>
                <a:cs typeface="ＭＳ Ｐゴシック"/>
              </a:defRPr>
            </a:pPr>
          </a:p>
        </c:txPr>
      </c:legendEntry>
      <c:legendEntry>
        <c:idx val="7"/>
        <c:txPr>
          <a:bodyPr vert="horz" rot="0"/>
          <a:lstStyle/>
          <a:p>
            <a:pPr>
              <a:defRPr lang="en-US" cap="none" sz="1400" b="0" i="0" u="none" baseline="0">
                <a:latin typeface="ＭＳ Ｐゴシック"/>
                <a:ea typeface="ＭＳ Ｐゴシック"/>
                <a:cs typeface="ＭＳ Ｐゴシック"/>
              </a:defRPr>
            </a:pPr>
          </a:p>
        </c:txPr>
      </c:legendEntry>
      <c:layout>
        <c:manualLayout>
          <c:xMode val="edge"/>
          <c:yMode val="edge"/>
          <c:x val="0.0625"/>
          <c:y val="0.90175"/>
          <c:w val="0.8865"/>
          <c:h val="0.093"/>
        </c:manualLayout>
      </c:layout>
      <c:overlay val="0"/>
    </c:legend>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70</xdr:col>
      <xdr:colOff>400050</xdr:colOff>
      <xdr:row>11</xdr:row>
      <xdr:rowOff>133350</xdr:rowOff>
    </xdr:from>
    <xdr:to>
      <xdr:col>82</xdr:col>
      <xdr:colOff>209550</xdr:colOff>
      <xdr:row>54</xdr:row>
      <xdr:rowOff>47625</xdr:rowOff>
    </xdr:to>
    <xdr:graphicFrame>
      <xdr:nvGraphicFramePr>
        <xdr:cNvPr id="1" name="Chart 7512"/>
        <xdr:cNvGraphicFramePr/>
      </xdr:nvGraphicFramePr>
      <xdr:xfrm>
        <a:off x="32813625" y="2571750"/>
        <a:ext cx="10439400" cy="9163050"/>
      </xdr:xfrm>
      <a:graphic>
        <a:graphicData uri="http://schemas.openxmlformats.org/drawingml/2006/chart">
          <c:chart xmlns:c="http://schemas.openxmlformats.org/drawingml/2006/chart" r:id="rId1"/>
        </a:graphicData>
      </a:graphic>
    </xdr:graphicFrame>
    <xdr:clientData/>
  </xdr:twoCellAnchor>
  <xdr:oneCellAnchor>
    <xdr:from>
      <xdr:col>17</xdr:col>
      <xdr:colOff>47625</xdr:colOff>
      <xdr:row>12</xdr:row>
      <xdr:rowOff>200025</xdr:rowOff>
    </xdr:from>
    <xdr:ext cx="171450" cy="295275"/>
    <xdr:sp fLocksText="0">
      <xdr:nvSpPr>
        <xdr:cNvPr id="2" name="テキスト ボックス 7128"/>
        <xdr:cNvSpPr txBox="1">
          <a:spLocks noChangeArrowheads="1"/>
        </xdr:cNvSpPr>
      </xdr:nvSpPr>
      <xdr:spPr>
        <a:xfrm>
          <a:off x="6600825" y="2867025"/>
          <a:ext cx="171450" cy="2952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28575</xdr:rowOff>
    </xdr:from>
    <xdr:to>
      <xdr:col>6</xdr:col>
      <xdr:colOff>581025</xdr:colOff>
      <xdr:row>4</xdr:row>
      <xdr:rowOff>0</xdr:rowOff>
    </xdr:to>
    <xdr:sp>
      <xdr:nvSpPr>
        <xdr:cNvPr id="1" name="Oval 53"/>
        <xdr:cNvSpPr>
          <a:spLocks/>
        </xdr:cNvSpPr>
      </xdr:nvSpPr>
      <xdr:spPr>
        <a:xfrm>
          <a:off x="2914650" y="723900"/>
          <a:ext cx="5810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838200</xdr:colOff>
      <xdr:row>3</xdr:row>
      <xdr:rowOff>28575</xdr:rowOff>
    </xdr:from>
    <xdr:to>
      <xdr:col>76</xdr:col>
      <xdr:colOff>885825</xdr:colOff>
      <xdr:row>4</xdr:row>
      <xdr:rowOff>28575</xdr:rowOff>
    </xdr:to>
    <xdr:sp>
      <xdr:nvSpPr>
        <xdr:cNvPr id="2" name="Oval 294"/>
        <xdr:cNvSpPr>
          <a:spLocks/>
        </xdr:cNvSpPr>
      </xdr:nvSpPr>
      <xdr:spPr>
        <a:xfrm>
          <a:off x="37680900" y="723900"/>
          <a:ext cx="9334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542925</xdr:colOff>
      <xdr:row>3</xdr:row>
      <xdr:rowOff>0</xdr:rowOff>
    </xdr:from>
    <xdr:to>
      <xdr:col>48</xdr:col>
      <xdr:colOff>542925</xdr:colOff>
      <xdr:row>3</xdr:row>
      <xdr:rowOff>219075</xdr:rowOff>
    </xdr:to>
    <xdr:sp>
      <xdr:nvSpPr>
        <xdr:cNvPr id="3" name="Oval 295"/>
        <xdr:cNvSpPr>
          <a:spLocks/>
        </xdr:cNvSpPr>
      </xdr:nvSpPr>
      <xdr:spPr>
        <a:xfrm>
          <a:off x="18449925" y="695325"/>
          <a:ext cx="54292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733425</xdr:colOff>
      <xdr:row>3</xdr:row>
      <xdr:rowOff>28575</xdr:rowOff>
    </xdr:from>
    <xdr:to>
      <xdr:col>59</xdr:col>
      <xdr:colOff>733425</xdr:colOff>
      <xdr:row>4</xdr:row>
      <xdr:rowOff>28575</xdr:rowOff>
    </xdr:to>
    <xdr:sp>
      <xdr:nvSpPr>
        <xdr:cNvPr id="4" name="Oval 294"/>
        <xdr:cNvSpPr>
          <a:spLocks/>
        </xdr:cNvSpPr>
      </xdr:nvSpPr>
      <xdr:spPr>
        <a:xfrm>
          <a:off x="24955500" y="723900"/>
          <a:ext cx="7334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47625</xdr:colOff>
      <xdr:row>12</xdr:row>
      <xdr:rowOff>200025</xdr:rowOff>
    </xdr:from>
    <xdr:ext cx="171450" cy="285750"/>
    <xdr:sp fLocksText="0">
      <xdr:nvSpPr>
        <xdr:cNvPr id="5" name="テキスト ボックス 7128"/>
        <xdr:cNvSpPr txBox="1">
          <a:spLocks noChangeArrowheads="1"/>
        </xdr:cNvSpPr>
      </xdr:nvSpPr>
      <xdr:spPr>
        <a:xfrm>
          <a:off x="6600825" y="2857500"/>
          <a:ext cx="171450" cy="2857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70</xdr:col>
      <xdr:colOff>400050</xdr:colOff>
      <xdr:row>11</xdr:row>
      <xdr:rowOff>133350</xdr:rowOff>
    </xdr:from>
    <xdr:to>
      <xdr:col>81</xdr:col>
      <xdr:colOff>619125</xdr:colOff>
      <xdr:row>53</xdr:row>
      <xdr:rowOff>209550</xdr:rowOff>
    </xdr:to>
    <xdr:graphicFrame>
      <xdr:nvGraphicFramePr>
        <xdr:cNvPr id="6" name="Chart 20"/>
        <xdr:cNvGraphicFramePr/>
      </xdr:nvGraphicFramePr>
      <xdr:xfrm>
        <a:off x="32813625" y="2562225"/>
        <a:ext cx="9963150" cy="9105900"/>
      </xdr:xfrm>
      <a:graphic>
        <a:graphicData uri="http://schemas.openxmlformats.org/drawingml/2006/chart">
          <c:chart xmlns:c="http://schemas.openxmlformats.org/drawingml/2006/chart" r:id="rId1"/>
        </a:graphicData>
      </a:graphic>
    </xdr:graphicFrame>
    <xdr:clientData/>
  </xdr:twoCellAnchor>
  <xdr:twoCellAnchor>
    <xdr:from>
      <xdr:col>77</xdr:col>
      <xdr:colOff>28575</xdr:colOff>
      <xdr:row>41</xdr:row>
      <xdr:rowOff>76200</xdr:rowOff>
    </xdr:from>
    <xdr:to>
      <xdr:col>81</xdr:col>
      <xdr:colOff>771525</xdr:colOff>
      <xdr:row>49</xdr:row>
      <xdr:rowOff>28575</xdr:rowOff>
    </xdr:to>
    <xdr:sp>
      <xdr:nvSpPr>
        <xdr:cNvPr id="7" name="角丸四角形吹き出し 7126"/>
        <xdr:cNvSpPr>
          <a:spLocks/>
        </xdr:cNvSpPr>
      </xdr:nvSpPr>
      <xdr:spPr>
        <a:xfrm>
          <a:off x="38642925" y="8677275"/>
          <a:ext cx="4286250" cy="1895475"/>
        </a:xfrm>
        <a:prstGeom prst="wedgeRoundRectCallout">
          <a:avLst>
            <a:gd name="adj1" fmla="val -60444"/>
            <a:gd name="adj2" fmla="val 30712"/>
          </a:avLst>
        </a:prstGeom>
        <a:solidFill>
          <a:srgbClr val="FFFFFF"/>
        </a:solidFill>
        <a:ln w="25400" cmpd="sng">
          <a:solidFill>
            <a:srgbClr val="F79646"/>
          </a:solidFill>
          <a:headEnd type="none"/>
          <a:tailEnd type="none"/>
        </a:ln>
      </xdr:spPr>
      <xdr:txBody>
        <a:bodyPr vertOverflow="clip" wrap="square" lIns="36000" tIns="36000" rIns="36000" bIns="36000" anchor="ctr"/>
        <a:p>
          <a:pPr algn="l">
            <a:defRPr/>
          </a:pPr>
          <a:r>
            <a:rPr lang="en-US" cap="none" sz="1400" b="0" i="0" u="none" baseline="0">
              <a:solidFill>
                <a:srgbClr val="FF0000"/>
              </a:solidFill>
              <a:latin typeface="ＭＳ Ｐゴシック"/>
              <a:ea typeface="ＭＳ Ｐゴシック"/>
              <a:cs typeface="ＭＳ Ｐゴシック"/>
            </a:rPr>
            <a:t>　間伐の効果は、樹冠長率の回復（維持）で判断することができる。
</a:t>
          </a:r>
          <a:r>
            <a:rPr lang="en-US" cap="none" sz="1400" b="0" i="0" u="none" baseline="0">
              <a:solidFill>
                <a:srgbClr val="FF0000"/>
              </a:solidFill>
              <a:latin typeface="ＭＳ Ｐゴシック"/>
              <a:ea typeface="ＭＳ Ｐゴシック"/>
              <a:cs typeface="ＭＳ Ｐゴシック"/>
            </a:rPr>
            <a:t>　ただし、胸髙断面積合計が適正上限以下でないと樹冠長率の回復は困難。
</a:t>
          </a:r>
          <a:r>
            <a:rPr lang="en-US" cap="none" sz="1400" b="0" i="0" u="none" baseline="0">
              <a:solidFill>
                <a:srgbClr val="FF0000"/>
              </a:solidFill>
              <a:latin typeface="ＭＳ Ｐゴシック"/>
              <a:ea typeface="ＭＳ Ｐゴシック"/>
              <a:cs typeface="ＭＳ Ｐゴシック"/>
            </a:rPr>
            <a:t>　樹冠長率がピンク線の限界値を下回ったときも樹冠長率の回復は困難。</a:t>
          </a:r>
        </a:p>
      </xdr:txBody>
    </xdr:sp>
    <xdr:clientData/>
  </xdr:twoCellAnchor>
  <xdr:twoCellAnchor>
    <xdr:from>
      <xdr:col>70</xdr:col>
      <xdr:colOff>142875</xdr:colOff>
      <xdr:row>13</xdr:row>
      <xdr:rowOff>66675</xdr:rowOff>
    </xdr:from>
    <xdr:to>
      <xdr:col>74</xdr:col>
      <xdr:colOff>781050</xdr:colOff>
      <xdr:row>20</xdr:row>
      <xdr:rowOff>76200</xdr:rowOff>
    </xdr:to>
    <xdr:sp>
      <xdr:nvSpPr>
        <xdr:cNvPr id="8" name="角丸四角形吹き出し 7126"/>
        <xdr:cNvSpPr>
          <a:spLocks/>
        </xdr:cNvSpPr>
      </xdr:nvSpPr>
      <xdr:spPr>
        <a:xfrm>
          <a:off x="32556450" y="2952750"/>
          <a:ext cx="4181475" cy="1628775"/>
        </a:xfrm>
        <a:prstGeom prst="wedgeRoundRectCallout">
          <a:avLst>
            <a:gd name="adj1" fmla="val 53416"/>
            <a:gd name="adj2" fmla="val 81097"/>
          </a:avLst>
        </a:prstGeom>
        <a:solidFill>
          <a:srgbClr val="FFFFFF"/>
        </a:solidFill>
        <a:ln w="25400" cmpd="sng">
          <a:solidFill>
            <a:srgbClr val="F79646"/>
          </a:solidFill>
          <a:headEnd type="none"/>
          <a:tailEnd type="none"/>
        </a:ln>
      </xdr:spPr>
      <xdr:txBody>
        <a:bodyPr vertOverflow="clip" wrap="square" lIns="36000" tIns="36000" rIns="36000" bIns="36000" anchor="ctr"/>
        <a:p>
          <a:pPr algn="l">
            <a:defRPr/>
          </a:pPr>
          <a:r>
            <a:rPr lang="en-US" cap="none" sz="1400" b="0" i="0" u="none" baseline="0">
              <a:solidFill>
                <a:srgbClr val="FF0000"/>
              </a:solidFill>
              <a:latin typeface="ＭＳ Ｐゴシック"/>
              <a:ea typeface="ＭＳ Ｐゴシック"/>
              <a:cs typeface="ＭＳ Ｐゴシック"/>
            </a:rPr>
            <a:t>　間伐強度の適正度は、胸髙断面積合計と立木密度を主に判断する。
</a:t>
          </a:r>
          <a:r>
            <a:rPr lang="en-US" cap="none" sz="1400" b="0" i="0" u="none" baseline="0">
              <a:solidFill>
                <a:srgbClr val="FF0000"/>
              </a:solidFill>
              <a:latin typeface="ＭＳ Ｐゴシック"/>
              <a:ea typeface="ＭＳ Ｐゴシック"/>
              <a:cs typeface="ＭＳ Ｐゴシック"/>
            </a:rPr>
            <a:t>　間伐手遅れ林</a:t>
          </a:r>
          <a:r>
            <a:rPr lang="en-US" cap="none" sz="1100" b="0" i="0" u="none" baseline="0">
              <a:solidFill>
                <a:srgbClr val="FF0000"/>
              </a:solidFill>
              <a:latin typeface="ＭＳ Ｐゴシック"/>
              <a:ea typeface="ＭＳ Ｐゴシック"/>
              <a:cs typeface="ＭＳ Ｐゴシック"/>
            </a:rPr>
            <a:t>（胸髙断面積合計指数０．８以上）</a:t>
          </a:r>
          <a:r>
            <a:rPr lang="en-US" cap="none" sz="1400" b="0" i="0" u="none" baseline="0">
              <a:solidFill>
                <a:srgbClr val="FF0000"/>
              </a:solidFill>
              <a:latin typeface="ＭＳ Ｐゴシック"/>
              <a:ea typeface="ＭＳ Ｐゴシック"/>
              <a:cs typeface="ＭＳ Ｐゴシック"/>
            </a:rPr>
            <a:t>では、間伐後の胸髙断面積合計が適正でも、細い木を主に残すと立木密度は不適正となり、適正な間伐とはならない。</a:t>
          </a:r>
        </a:p>
      </xdr:txBody>
    </xdr:sp>
    <xdr:clientData/>
  </xdr:twoCellAnchor>
  <xdr:twoCellAnchor>
    <xdr:from>
      <xdr:col>77</xdr:col>
      <xdr:colOff>790575</xdr:colOff>
      <xdr:row>13</xdr:row>
      <xdr:rowOff>171450</xdr:rowOff>
    </xdr:from>
    <xdr:to>
      <xdr:col>80</xdr:col>
      <xdr:colOff>809625</xdr:colOff>
      <xdr:row>17</xdr:row>
      <xdr:rowOff>47625</xdr:rowOff>
    </xdr:to>
    <xdr:sp>
      <xdr:nvSpPr>
        <xdr:cNvPr id="9" name="角丸四角形吹き出し 7126"/>
        <xdr:cNvSpPr>
          <a:spLocks/>
        </xdr:cNvSpPr>
      </xdr:nvSpPr>
      <xdr:spPr>
        <a:xfrm>
          <a:off x="39404925" y="3057525"/>
          <a:ext cx="2676525" cy="800100"/>
        </a:xfrm>
        <a:prstGeom prst="wedgeRoundRectCallout">
          <a:avLst>
            <a:gd name="adj1" fmla="val -83805"/>
            <a:gd name="adj2" fmla="val -37652"/>
          </a:avLst>
        </a:prstGeom>
        <a:solidFill>
          <a:srgbClr val="FFFFFF"/>
        </a:solidFill>
        <a:ln w="25400" cmpd="sng">
          <a:solidFill>
            <a:srgbClr val="F79646"/>
          </a:solidFill>
          <a:headEnd type="none"/>
          <a:tailEnd type="none"/>
        </a:ln>
      </xdr:spPr>
      <xdr:txBody>
        <a:bodyPr vertOverflow="clip" wrap="square" lIns="36000" tIns="36000" rIns="36000" bIns="36000" anchor="ctr"/>
        <a:p>
          <a:pPr algn="l">
            <a:defRPr/>
          </a:pPr>
          <a:r>
            <a:rPr lang="en-US" cap="none" sz="1400" b="0" i="0" u="none" baseline="0">
              <a:solidFill>
                <a:srgbClr val="FF0000"/>
              </a:solidFill>
              <a:latin typeface="ＭＳ Ｐゴシック"/>
              <a:ea typeface="ＭＳ Ｐゴシック"/>
              <a:cs typeface="ＭＳ Ｐゴシック"/>
            </a:rPr>
            <a:t>　胸髙断面積合計の指数は、収量比数（ｒｙ）に近い値。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1">
    <tabColor indexed="11"/>
  </sheetPr>
  <dimension ref="A1:CE81"/>
  <sheetViews>
    <sheetView showZeros="0" view="pageBreakPreview" zoomScale="60" zoomScaleNormal="50" zoomScalePageLayoutView="0" workbookViewId="0" topLeftCell="A1">
      <selection activeCell="AI4" sqref="AI4"/>
    </sheetView>
  </sheetViews>
  <sheetFormatPr defaultColWidth="9.00390625" defaultRowHeight="13.5" outlineLevelCol="1"/>
  <cols>
    <col min="1" max="1" width="0.12890625" style="84" customWidth="1"/>
    <col min="2" max="9" width="7.625" style="84" customWidth="1"/>
    <col min="10" max="10" width="8.00390625" style="84" bestFit="1" customWidth="1"/>
    <col min="11" max="11" width="10.00390625" style="32" hidden="1" customWidth="1"/>
    <col min="12" max="12" width="16.00390625" style="33" hidden="1" customWidth="1"/>
    <col min="13" max="14" width="5.25390625" style="33" hidden="1" customWidth="1"/>
    <col min="15" max="15" width="1.625" style="84" customWidth="1"/>
    <col min="16" max="23" width="7.625" style="84" customWidth="1"/>
    <col min="24" max="24" width="5.25390625" style="84" bestFit="1" customWidth="1"/>
    <col min="25" max="25" width="10.00390625" style="33" hidden="1" customWidth="1"/>
    <col min="26" max="26" width="16.00390625" style="32" hidden="1" customWidth="1"/>
    <col min="27" max="28" width="5.25390625" style="86" hidden="1" customWidth="1"/>
    <col min="29" max="29" width="1.625" style="84" customWidth="1"/>
    <col min="30" max="37" width="7.625" style="84" customWidth="1"/>
    <col min="38" max="38" width="5.25390625" style="84" bestFit="1" customWidth="1"/>
    <col min="39" max="39" width="10.00390625" style="33" hidden="1" customWidth="1"/>
    <col min="40" max="40" width="16.00390625" style="32" hidden="1" customWidth="1"/>
    <col min="41" max="41" width="5.25390625" style="86" hidden="1" customWidth="1"/>
    <col min="42" max="42" width="5.25390625" style="32" hidden="1" customWidth="1"/>
    <col min="43" max="43" width="1.625" style="84" customWidth="1"/>
    <col min="44" max="45" width="7.125" style="84" customWidth="1"/>
    <col min="46" max="47" width="7.125" style="84" customWidth="1" outlineLevel="1"/>
    <col min="48" max="53" width="7.125" style="84" customWidth="1"/>
    <col min="54" max="54" width="1.625" style="84" customWidth="1"/>
    <col min="55" max="69" width="9.625" style="84" customWidth="1"/>
    <col min="70" max="70" width="1.625" style="84" customWidth="1"/>
    <col min="71" max="83" width="11.625" style="84" customWidth="1"/>
    <col min="84" max="16384" width="9.00390625" style="87" customWidth="1"/>
  </cols>
  <sheetData>
    <row r="1" spans="16:26" ht="15" thickBot="1">
      <c r="P1" s="85"/>
      <c r="Q1" s="85"/>
      <c r="R1" s="85"/>
      <c r="S1" s="85"/>
      <c r="T1" s="85"/>
      <c r="U1" s="85"/>
      <c r="V1" s="85"/>
      <c r="W1" s="85"/>
      <c r="X1" s="85"/>
      <c r="Z1" s="86"/>
    </row>
    <row r="2" spans="2:52" ht="21" thickBot="1">
      <c r="B2" s="719" t="s">
        <v>16</v>
      </c>
      <c r="C2" s="719"/>
      <c r="D2" s="719"/>
      <c r="E2" s="719"/>
      <c r="F2" s="719"/>
      <c r="G2" s="719"/>
      <c r="H2" s="719"/>
      <c r="I2" s="719"/>
      <c r="J2" s="719"/>
      <c r="K2" s="34"/>
      <c r="P2" s="88" t="s">
        <v>82</v>
      </c>
      <c r="Q2" s="89"/>
      <c r="R2" s="89"/>
      <c r="S2" s="89"/>
      <c r="T2" s="89"/>
      <c r="U2" s="85"/>
      <c r="V2" s="85"/>
      <c r="W2" s="85"/>
      <c r="X2" s="85"/>
      <c r="Z2" s="86"/>
      <c r="AF2" s="85"/>
      <c r="AG2" s="85"/>
      <c r="AH2" s="85"/>
      <c r="AI2" s="85"/>
      <c r="AJ2" s="85"/>
      <c r="AK2" s="85"/>
      <c r="AL2" s="85"/>
      <c r="AN2" s="86"/>
      <c r="AR2" s="720" t="s">
        <v>39</v>
      </c>
      <c r="AS2" s="721"/>
      <c r="AT2" s="34"/>
      <c r="AU2" s="722" t="s">
        <v>16</v>
      </c>
      <c r="AV2" s="722"/>
      <c r="AW2" s="722"/>
      <c r="AX2" s="34"/>
      <c r="AY2" s="34"/>
      <c r="AZ2" s="34"/>
    </row>
    <row r="3" spans="1:83" ht="18.75" thickBot="1">
      <c r="A3" s="39"/>
      <c r="B3" s="90" t="s">
        <v>25</v>
      </c>
      <c r="C3" s="519"/>
      <c r="D3" s="27" t="s">
        <v>13</v>
      </c>
      <c r="E3" s="715"/>
      <c r="F3" s="716"/>
      <c r="G3" s="716"/>
      <c r="H3" s="717"/>
      <c r="I3" s="29" t="s">
        <v>92</v>
      </c>
      <c r="J3" s="30"/>
      <c r="K3" s="35"/>
      <c r="L3" s="35"/>
      <c r="M3" s="35"/>
      <c r="N3" s="36"/>
      <c r="O3" s="91"/>
      <c r="P3" s="92" t="s">
        <v>261</v>
      </c>
      <c r="Q3" s="923" t="s">
        <v>94</v>
      </c>
      <c r="R3" s="921" t="s">
        <v>304</v>
      </c>
      <c r="S3" s="88" t="s">
        <v>181</v>
      </c>
      <c r="U3" s="921" t="s">
        <v>304</v>
      </c>
      <c r="V3" s="532" t="s">
        <v>180</v>
      </c>
      <c r="W3" s="88"/>
      <c r="X3" s="88"/>
      <c r="Y3" s="94"/>
      <c r="Z3" s="95"/>
      <c r="AA3" s="96"/>
      <c r="AB3" s="96"/>
      <c r="AC3" s="88"/>
      <c r="AD3" s="39"/>
      <c r="AE3" s="39"/>
      <c r="AF3" s="85"/>
      <c r="AG3" s="85"/>
      <c r="AH3" s="85"/>
      <c r="AI3" s="85"/>
      <c r="AJ3" s="85"/>
      <c r="AK3" s="85"/>
      <c r="AL3" s="85"/>
      <c r="AM3" s="97"/>
      <c r="AN3" s="86"/>
      <c r="AO3" s="97"/>
      <c r="AP3" s="43"/>
      <c r="AQ3" s="39"/>
      <c r="AR3" s="90" t="str">
        <f>B3</f>
        <v>県名</v>
      </c>
      <c r="AS3" s="98">
        <f>$C$3</f>
        <v>0</v>
      </c>
      <c r="AT3" s="90" t="str">
        <f aca="true" t="shared" si="0" ref="AT3:AU5">D3</f>
        <v>調査地</v>
      </c>
      <c r="AU3" s="742">
        <f t="shared" si="0"/>
        <v>0</v>
      </c>
      <c r="AV3" s="743"/>
      <c r="AW3" s="743"/>
      <c r="AX3" s="744"/>
      <c r="AY3" s="90" t="str">
        <f>I3</f>
        <v>標　高</v>
      </c>
      <c r="AZ3" s="714">
        <f>J3</f>
        <v>0</v>
      </c>
      <c r="BA3" s="753"/>
      <c r="BB3" s="39"/>
      <c r="BC3" s="90" t="str">
        <f aca="true" t="shared" si="1" ref="BC3:BF4">AR3</f>
        <v>県名</v>
      </c>
      <c r="BD3" s="90">
        <f t="shared" si="1"/>
        <v>0</v>
      </c>
      <c r="BE3" s="90" t="str">
        <f t="shared" si="1"/>
        <v>調査地</v>
      </c>
      <c r="BF3" s="754">
        <f t="shared" si="1"/>
        <v>0</v>
      </c>
      <c r="BG3" s="755"/>
      <c r="BH3" s="755"/>
      <c r="BI3" s="756"/>
      <c r="BJ3" s="90" t="str">
        <f>AY3</f>
        <v>標　高</v>
      </c>
      <c r="BK3" s="757">
        <f>AZ3</f>
        <v>0</v>
      </c>
      <c r="BL3" s="758"/>
      <c r="BM3" s="39"/>
      <c r="BN3" s="39"/>
      <c r="BO3" s="39"/>
      <c r="BP3" s="39"/>
      <c r="BQ3" s="39"/>
      <c r="BR3" s="39"/>
      <c r="BS3" s="39"/>
      <c r="BT3" s="90" t="str">
        <f aca="true" t="shared" si="2" ref="BT3:BV5">AR3</f>
        <v>県名</v>
      </c>
      <c r="BU3" s="516">
        <f t="shared" si="2"/>
        <v>0</v>
      </c>
      <c r="BV3" s="90" t="str">
        <f t="shared" si="2"/>
        <v>調査地</v>
      </c>
      <c r="BW3" s="742">
        <f>$E$3</f>
        <v>0</v>
      </c>
      <c r="BX3" s="743"/>
      <c r="BY3" s="743"/>
      <c r="BZ3" s="744"/>
      <c r="CA3" s="90" t="str">
        <f>AY3</f>
        <v>標　高</v>
      </c>
      <c r="CB3" s="714">
        <f>AZ3</f>
        <v>0</v>
      </c>
      <c r="CC3" s="712"/>
      <c r="CD3" s="39"/>
      <c r="CE3" s="39"/>
    </row>
    <row r="4" spans="1:83" ht="18.75" thickBot="1">
      <c r="A4" s="39"/>
      <c r="B4" s="100" t="s">
        <v>187</v>
      </c>
      <c r="C4" s="916"/>
      <c r="D4" s="518" t="s">
        <v>27</v>
      </c>
      <c r="E4" s="713" t="s">
        <v>26</v>
      </c>
      <c r="F4" s="747"/>
      <c r="G4" s="747"/>
      <c r="H4" s="747"/>
      <c r="I4" s="27" t="s">
        <v>11</v>
      </c>
      <c r="J4" s="31"/>
      <c r="K4" s="37"/>
      <c r="L4" s="37"/>
      <c r="M4" s="38"/>
      <c r="N4" s="39"/>
      <c r="O4" s="91"/>
      <c r="P4" s="92" t="s">
        <v>262</v>
      </c>
      <c r="Q4" s="748" t="s">
        <v>165</v>
      </c>
      <c r="R4" s="749"/>
      <c r="S4" s="749"/>
      <c r="T4" s="749"/>
      <c r="U4" s="749"/>
      <c r="V4" s="749"/>
      <c r="W4" s="749"/>
      <c r="X4" s="749"/>
      <c r="Y4" s="101"/>
      <c r="Z4" s="102"/>
      <c r="AA4" s="101"/>
      <c r="AB4" s="101"/>
      <c r="AC4" s="88"/>
      <c r="AD4" s="39"/>
      <c r="AE4" s="39"/>
      <c r="AF4" s="39"/>
      <c r="AG4" s="39"/>
      <c r="AH4" s="39"/>
      <c r="AI4" s="39"/>
      <c r="AJ4" s="39"/>
      <c r="AK4" s="39"/>
      <c r="AL4" s="39"/>
      <c r="AM4" s="103"/>
      <c r="AN4" s="86"/>
      <c r="AO4" s="104"/>
      <c r="AP4" s="43"/>
      <c r="AQ4" s="39"/>
      <c r="AR4" s="90" t="s">
        <v>40</v>
      </c>
      <c r="AS4" s="98">
        <f>$C$4</f>
        <v>0</v>
      </c>
      <c r="AT4" s="90" t="str">
        <f t="shared" si="0"/>
        <v>平均傾斜角</v>
      </c>
      <c r="AU4" s="750" t="str">
        <f t="shared" si="0"/>
        <v>　15°未満 、15°～30°、 31°～40° 、 40°以上 </v>
      </c>
      <c r="AV4" s="751"/>
      <c r="AW4" s="751"/>
      <c r="AX4" s="751"/>
      <c r="AY4" s="90" t="str">
        <f>I4</f>
        <v>区域面積</v>
      </c>
      <c r="AZ4" s="752">
        <f>J4</f>
        <v>0</v>
      </c>
      <c r="BA4" s="753"/>
      <c r="BB4" s="39"/>
      <c r="BC4" s="90" t="str">
        <f t="shared" si="1"/>
        <v>樹種構成</v>
      </c>
      <c r="BD4" s="90">
        <f t="shared" si="1"/>
        <v>0</v>
      </c>
      <c r="BE4" s="90" t="str">
        <f t="shared" si="1"/>
        <v>平均傾斜角</v>
      </c>
      <c r="BF4" s="754" t="str">
        <f t="shared" si="1"/>
        <v>　15°未満 、15°～30°、 31°～40° 、 40°以上 </v>
      </c>
      <c r="BG4" s="755"/>
      <c r="BH4" s="755"/>
      <c r="BI4" s="756"/>
      <c r="BJ4" s="90" t="str">
        <f>AY4</f>
        <v>区域面積</v>
      </c>
      <c r="BK4" s="723">
        <f>AZ4</f>
        <v>0</v>
      </c>
      <c r="BL4" s="718"/>
      <c r="BM4" s="39"/>
      <c r="BN4" s="39"/>
      <c r="BO4" s="39"/>
      <c r="BP4" s="39"/>
      <c r="BQ4" s="39"/>
      <c r="BR4" s="39"/>
      <c r="BS4" s="39"/>
      <c r="BT4" s="90" t="str">
        <f t="shared" si="2"/>
        <v>樹種構成</v>
      </c>
      <c r="BU4" s="522">
        <f t="shared" si="2"/>
        <v>0</v>
      </c>
      <c r="BV4" s="111" t="str">
        <f t="shared" si="2"/>
        <v>平均傾斜角</v>
      </c>
      <c r="BW4" s="742" t="str">
        <f>$E$4</f>
        <v>　15°未満 、15°～30°、 31°～40° 、 40°以上 </v>
      </c>
      <c r="BX4" s="743"/>
      <c r="BY4" s="743"/>
      <c r="BZ4" s="744"/>
      <c r="CA4" s="90" t="str">
        <f>AY4</f>
        <v>区域面積</v>
      </c>
      <c r="CB4" s="105">
        <f>$J$4</f>
        <v>0</v>
      </c>
      <c r="CC4" s="106"/>
      <c r="CD4" s="39"/>
      <c r="CE4" s="39"/>
    </row>
    <row r="5" spans="1:83" ht="20.25">
      <c r="A5" s="39"/>
      <c r="B5" s="107" t="s">
        <v>1</v>
      </c>
      <c r="C5" s="520"/>
      <c r="D5" s="27" t="s">
        <v>118</v>
      </c>
      <c r="E5" s="759"/>
      <c r="F5" s="760"/>
      <c r="G5" s="760"/>
      <c r="H5" s="760"/>
      <c r="I5" s="760"/>
      <c r="J5" s="761"/>
      <c r="K5" s="40"/>
      <c r="L5" s="41"/>
      <c r="M5" s="41"/>
      <c r="N5" s="42"/>
      <c r="O5" s="91"/>
      <c r="P5" s="39"/>
      <c r="Q5" s="88" t="s">
        <v>166</v>
      </c>
      <c r="R5" s="88"/>
      <c r="S5" s="88"/>
      <c r="T5" s="88"/>
      <c r="U5" s="88"/>
      <c r="V5" s="88"/>
      <c r="W5" s="88"/>
      <c r="X5" s="88"/>
      <c r="Y5" s="101"/>
      <c r="Z5" s="102"/>
      <c r="AA5" s="101"/>
      <c r="AB5" s="101"/>
      <c r="AC5" s="88"/>
      <c r="AD5" s="39"/>
      <c r="AE5" s="39"/>
      <c r="AF5" s="39"/>
      <c r="AG5" s="39"/>
      <c r="AH5" s="39"/>
      <c r="AI5" s="39"/>
      <c r="AJ5" s="39"/>
      <c r="AK5" s="39"/>
      <c r="AL5" s="39"/>
      <c r="AM5" s="108"/>
      <c r="AN5" s="86"/>
      <c r="AO5" s="109"/>
      <c r="AP5" s="43"/>
      <c r="AQ5" s="39"/>
      <c r="AR5" s="107" t="s">
        <v>1</v>
      </c>
      <c r="AS5" s="110">
        <f>$C$5</f>
        <v>0</v>
      </c>
      <c r="AT5" s="90" t="str">
        <f t="shared" si="0"/>
        <v>林況</v>
      </c>
      <c r="AU5" s="742">
        <f t="shared" si="0"/>
        <v>0</v>
      </c>
      <c r="AV5" s="762"/>
      <c r="AW5" s="762"/>
      <c r="AX5" s="762"/>
      <c r="AY5" s="762"/>
      <c r="AZ5" s="762"/>
      <c r="BA5" s="753"/>
      <c r="BB5" s="39"/>
      <c r="BC5" s="90" t="str">
        <f>AR5</f>
        <v>林　令</v>
      </c>
      <c r="BD5" s="110">
        <f>$C$5</f>
        <v>0</v>
      </c>
      <c r="BE5" s="90" t="str">
        <f>AT5</f>
        <v>林況</v>
      </c>
      <c r="BF5" s="754">
        <f>AU5</f>
        <v>0</v>
      </c>
      <c r="BG5" s="755"/>
      <c r="BH5" s="755"/>
      <c r="BI5" s="755"/>
      <c r="BJ5" s="755"/>
      <c r="BK5" s="755"/>
      <c r="BL5" s="756"/>
      <c r="BM5" s="39"/>
      <c r="BN5" s="39"/>
      <c r="BO5" s="39"/>
      <c r="BS5" s="39"/>
      <c r="BT5" s="90" t="str">
        <f t="shared" si="2"/>
        <v>林　令</v>
      </c>
      <c r="BU5" s="517">
        <f t="shared" si="2"/>
        <v>0</v>
      </c>
      <c r="BV5" s="90" t="str">
        <f t="shared" si="2"/>
        <v>林況</v>
      </c>
      <c r="BW5" s="763">
        <f>$E$5</f>
        <v>0</v>
      </c>
      <c r="BX5" s="764"/>
      <c r="BY5" s="764"/>
      <c r="BZ5" s="764"/>
      <c r="CA5" s="764"/>
      <c r="CB5" s="764"/>
      <c r="CC5" s="765"/>
      <c r="CD5" s="39"/>
      <c r="CE5" s="39"/>
    </row>
    <row r="6" spans="2:81" ht="15">
      <c r="B6" s="90" t="s">
        <v>115</v>
      </c>
      <c r="C6" s="766"/>
      <c r="D6" s="767"/>
      <c r="E6" s="27" t="s">
        <v>81</v>
      </c>
      <c r="F6" s="28"/>
      <c r="G6" s="27" t="s">
        <v>114</v>
      </c>
      <c r="H6" s="715"/>
      <c r="I6" s="716"/>
      <c r="J6" s="716"/>
      <c r="L6" s="41"/>
      <c r="M6" s="41"/>
      <c r="N6" s="42"/>
      <c r="O6" s="112"/>
      <c r="P6" s="92" t="s">
        <v>263</v>
      </c>
      <c r="Q6" s="88" t="s">
        <v>136</v>
      </c>
      <c r="R6" s="88"/>
      <c r="S6" s="88"/>
      <c r="T6" s="88"/>
      <c r="U6" s="88"/>
      <c r="V6" s="88"/>
      <c r="W6" s="88"/>
      <c r="X6" s="88"/>
      <c r="Y6" s="101"/>
      <c r="Z6" s="102"/>
      <c r="AA6" s="101"/>
      <c r="AB6" s="101"/>
      <c r="AC6" s="88"/>
      <c r="AF6" s="39"/>
      <c r="AG6" s="39"/>
      <c r="AH6" s="39"/>
      <c r="AI6" s="39"/>
      <c r="AJ6" s="39"/>
      <c r="AK6" s="39"/>
      <c r="AL6" s="39"/>
      <c r="AM6" s="108"/>
      <c r="AN6" s="86"/>
      <c r="AO6" s="109"/>
      <c r="AR6" s="90" t="s">
        <v>115</v>
      </c>
      <c r="AS6" s="742">
        <f>$C$6</f>
        <v>0</v>
      </c>
      <c r="AT6" s="744"/>
      <c r="AU6" s="90" t="str">
        <f>E6</f>
        <v>傾斜方向</v>
      </c>
      <c r="AV6" s="98">
        <f>F6</f>
        <v>0</v>
      </c>
      <c r="AW6" s="90" t="str">
        <f>G6</f>
        <v>調査者</v>
      </c>
      <c r="AX6" s="742">
        <f>H6</f>
        <v>0</v>
      </c>
      <c r="AY6" s="743"/>
      <c r="AZ6" s="743"/>
      <c r="BA6" s="744"/>
      <c r="BC6" s="90" t="str">
        <f>AR6</f>
        <v>調査日</v>
      </c>
      <c r="BD6" s="754">
        <f>AS6</f>
        <v>0</v>
      </c>
      <c r="BE6" s="756"/>
      <c r="BF6" s="90" t="str">
        <f>AU6</f>
        <v>傾斜方向</v>
      </c>
      <c r="BG6" s="90">
        <f>AV6</f>
        <v>0</v>
      </c>
      <c r="BH6" s="90" t="str">
        <f>AW6</f>
        <v>調査者</v>
      </c>
      <c r="BI6" s="754"/>
      <c r="BJ6" s="755"/>
      <c r="BK6" s="755"/>
      <c r="BL6" s="756"/>
      <c r="BM6" s="39"/>
      <c r="BN6" s="39"/>
      <c r="BO6" s="39"/>
      <c r="BP6" s="39"/>
      <c r="BQ6" s="39"/>
      <c r="BR6" s="39"/>
      <c r="BT6" s="90" t="str">
        <f>AR6</f>
        <v>調査日</v>
      </c>
      <c r="BU6" s="740">
        <f>AS6</f>
        <v>0</v>
      </c>
      <c r="BV6" s="741"/>
      <c r="BW6" s="90" t="str">
        <f>AU6</f>
        <v>傾斜方向</v>
      </c>
      <c r="BX6" s="98">
        <f>$F$6</f>
        <v>0</v>
      </c>
      <c r="BY6" s="90" t="str">
        <f>AW6</f>
        <v>調査者</v>
      </c>
      <c r="BZ6" s="742">
        <f>$H$6</f>
        <v>0</v>
      </c>
      <c r="CA6" s="743"/>
      <c r="CB6" s="743"/>
      <c r="CC6" s="744"/>
    </row>
    <row r="7" spans="1:83" ht="9.75" customHeight="1" thickBot="1">
      <c r="A7" s="39"/>
      <c r="B7" s="39"/>
      <c r="C7" s="39"/>
      <c r="D7" s="39"/>
      <c r="E7" s="39"/>
      <c r="F7" s="39"/>
      <c r="G7" s="39"/>
      <c r="H7" s="39"/>
      <c r="I7" s="39"/>
      <c r="J7" s="39"/>
      <c r="K7" s="43"/>
      <c r="O7" s="39"/>
      <c r="P7" s="39"/>
      <c r="Q7" s="39"/>
      <c r="R7" s="39"/>
      <c r="S7" s="39"/>
      <c r="T7" s="39"/>
      <c r="U7" s="39"/>
      <c r="V7" s="39"/>
      <c r="W7" s="39"/>
      <c r="X7" s="39"/>
      <c r="Z7" s="43"/>
      <c r="AA7" s="33"/>
      <c r="AB7" s="33"/>
      <c r="AC7" s="39"/>
      <c r="AD7" s="39"/>
      <c r="AE7" s="39"/>
      <c r="AF7" s="39"/>
      <c r="AG7" s="39"/>
      <c r="AH7" s="39"/>
      <c r="AI7" s="39"/>
      <c r="AJ7" s="39"/>
      <c r="AK7" s="39"/>
      <c r="AL7" s="39"/>
      <c r="AN7" s="43"/>
      <c r="AO7" s="33"/>
      <c r="AP7" s="33"/>
      <c r="AQ7" s="39"/>
      <c r="AR7" s="39"/>
      <c r="AS7" s="39"/>
      <c r="AT7" s="39"/>
      <c r="AU7" s="39"/>
      <c r="AV7" s="39"/>
      <c r="AW7" s="39"/>
      <c r="AX7" s="39"/>
      <c r="AY7" s="39"/>
      <c r="AZ7" s="39"/>
      <c r="BA7" s="39"/>
      <c r="BB7" s="39"/>
      <c r="BC7" s="39"/>
      <c r="BD7" s="39"/>
      <c r="BE7" s="39"/>
      <c r="BF7" s="39"/>
      <c r="BG7" s="113"/>
      <c r="BH7" s="113"/>
      <c r="BI7" s="113"/>
      <c r="BJ7" s="113"/>
      <c r="BK7" s="113"/>
      <c r="BL7" s="113"/>
      <c r="BM7" s="39"/>
      <c r="BN7" s="39"/>
      <c r="BO7" s="39"/>
      <c r="BP7" s="39"/>
      <c r="BQ7" s="39"/>
      <c r="BR7" s="39"/>
      <c r="BS7" s="39"/>
      <c r="BT7" s="39"/>
      <c r="BU7" s="39"/>
      <c r="BV7" s="39"/>
      <c r="BW7" s="39"/>
      <c r="BX7" s="39"/>
      <c r="BY7" s="39"/>
      <c r="BZ7" s="39"/>
      <c r="CA7" s="39"/>
      <c r="CB7" s="39"/>
      <c r="CC7" s="39"/>
      <c r="CD7" s="39"/>
      <c r="CE7" s="39"/>
    </row>
    <row r="8" spans="1:83" ht="21.75" thickBot="1" thickTop="1">
      <c r="A8" s="39"/>
      <c r="B8" s="754" t="s">
        <v>10</v>
      </c>
      <c r="C8" s="768"/>
      <c r="D8" s="114" t="s">
        <v>264</v>
      </c>
      <c r="E8" s="754" t="s">
        <v>33</v>
      </c>
      <c r="F8" s="768"/>
      <c r="G8" s="917"/>
      <c r="H8" s="918"/>
      <c r="I8" s="115"/>
      <c r="J8" s="116"/>
      <c r="K8" s="44"/>
      <c r="L8" s="41"/>
      <c r="M8" s="41"/>
      <c r="N8" s="45"/>
      <c r="O8" s="117"/>
      <c r="P8" s="754" t="s">
        <v>10</v>
      </c>
      <c r="Q8" s="768"/>
      <c r="R8" s="114" t="s">
        <v>265</v>
      </c>
      <c r="S8" s="754" t="s">
        <v>33</v>
      </c>
      <c r="T8" s="768"/>
      <c r="U8" s="917"/>
      <c r="V8" s="918"/>
      <c r="W8" s="118"/>
      <c r="X8" s="116"/>
      <c r="Y8" s="44"/>
      <c r="Z8" s="41"/>
      <c r="AA8" s="41"/>
      <c r="AB8" s="45"/>
      <c r="AC8" s="117"/>
      <c r="AD8" s="754" t="s">
        <v>10</v>
      </c>
      <c r="AE8" s="768"/>
      <c r="AF8" s="114">
        <v>3</v>
      </c>
      <c r="AG8" s="754" t="s">
        <v>33</v>
      </c>
      <c r="AH8" s="768"/>
      <c r="AI8" s="917"/>
      <c r="AJ8" s="918"/>
      <c r="AK8" s="118"/>
      <c r="AL8" s="116"/>
      <c r="AM8" s="44"/>
      <c r="AN8" s="41"/>
      <c r="AO8" s="41"/>
      <c r="AP8" s="45"/>
      <c r="AQ8" s="117"/>
      <c r="AR8" s="754" t="s">
        <v>70</v>
      </c>
      <c r="AS8" s="755"/>
      <c r="AT8" s="756"/>
      <c r="AU8" s="754" t="s">
        <v>33</v>
      </c>
      <c r="AV8" s="768"/>
      <c r="AW8" s="769">
        <f>G8+U8+AI8</f>
        <v>0</v>
      </c>
      <c r="AX8" s="770"/>
      <c r="AY8" s="119"/>
      <c r="AZ8" s="120"/>
      <c r="BA8" s="121"/>
      <c r="BB8" s="117"/>
      <c r="BC8" s="39"/>
      <c r="BD8" s="39"/>
      <c r="BE8" s="39"/>
      <c r="BF8" s="39"/>
      <c r="BG8" s="39"/>
      <c r="BH8" s="39"/>
      <c r="BI8" s="39"/>
      <c r="BJ8" s="39"/>
      <c r="BK8" s="39"/>
      <c r="BL8" s="39"/>
      <c r="BM8" s="39"/>
      <c r="BN8" s="39"/>
      <c r="BO8" s="39"/>
      <c r="BP8" s="39"/>
      <c r="BQ8" s="39"/>
      <c r="BR8" s="39"/>
      <c r="BS8" s="39"/>
      <c r="BT8" s="39"/>
      <c r="BU8" s="724" t="s">
        <v>160</v>
      </c>
      <c r="BV8" s="725"/>
      <c r="BW8" s="725"/>
      <c r="BX8" s="122" t="str">
        <f>AU63</f>
        <v>材積率</v>
      </c>
      <c r="BY8" s="123">
        <f>AV63</f>
        <v>0</v>
      </c>
      <c r="BZ8" s="122" t="str">
        <f>AW63</f>
        <v>本数率</v>
      </c>
      <c r="CA8" s="124">
        <f>AX63</f>
        <v>0</v>
      </c>
      <c r="CB8" s="125"/>
      <c r="CC8" s="39"/>
      <c r="CD8" s="39"/>
      <c r="CE8" s="39"/>
    </row>
    <row r="9" spans="1:83" ht="19.5" thickBot="1" thickTop="1">
      <c r="A9" s="39"/>
      <c r="B9" s="775" t="s">
        <v>266</v>
      </c>
      <c r="C9" s="777" t="s">
        <v>155</v>
      </c>
      <c r="D9" s="778" t="s">
        <v>0</v>
      </c>
      <c r="E9" s="126" t="s">
        <v>2</v>
      </c>
      <c r="F9" s="126" t="s">
        <v>12</v>
      </c>
      <c r="G9" s="126" t="s">
        <v>18</v>
      </c>
      <c r="H9" s="126" t="s">
        <v>267</v>
      </c>
      <c r="I9" s="127" t="s">
        <v>4</v>
      </c>
      <c r="J9" s="128" t="s">
        <v>73</v>
      </c>
      <c r="K9" s="46" t="s">
        <v>34</v>
      </c>
      <c r="L9" s="47" t="s">
        <v>19</v>
      </c>
      <c r="M9" s="780" t="s">
        <v>44</v>
      </c>
      <c r="N9" s="780"/>
      <c r="O9" s="39"/>
      <c r="P9" s="775" t="s">
        <v>268</v>
      </c>
      <c r="Q9" s="777" t="s">
        <v>155</v>
      </c>
      <c r="R9" s="781" t="s">
        <v>0</v>
      </c>
      <c r="S9" s="126" t="s">
        <v>2</v>
      </c>
      <c r="T9" s="126" t="s">
        <v>12</v>
      </c>
      <c r="U9" s="126" t="s">
        <v>18</v>
      </c>
      <c r="V9" s="126" t="s">
        <v>267</v>
      </c>
      <c r="W9" s="127" t="s">
        <v>4</v>
      </c>
      <c r="X9" s="128" t="s">
        <v>73</v>
      </c>
      <c r="Y9" s="46" t="s">
        <v>34</v>
      </c>
      <c r="Z9" s="47" t="s">
        <v>19</v>
      </c>
      <c r="AA9" s="771" t="s">
        <v>44</v>
      </c>
      <c r="AB9" s="772"/>
      <c r="AC9" s="39"/>
      <c r="AD9" s="775" t="s">
        <v>268</v>
      </c>
      <c r="AE9" s="777" t="s">
        <v>155</v>
      </c>
      <c r="AF9" s="778" t="s">
        <v>0</v>
      </c>
      <c r="AG9" s="126" t="s">
        <v>2</v>
      </c>
      <c r="AH9" s="126" t="s">
        <v>12</v>
      </c>
      <c r="AI9" s="126" t="s">
        <v>18</v>
      </c>
      <c r="AJ9" s="126" t="s">
        <v>267</v>
      </c>
      <c r="AK9" s="127" t="s">
        <v>4</v>
      </c>
      <c r="AL9" s="128" t="s">
        <v>73</v>
      </c>
      <c r="AM9" s="46" t="s">
        <v>34</v>
      </c>
      <c r="AN9" s="47" t="s">
        <v>19</v>
      </c>
      <c r="AO9" s="771" t="s">
        <v>44</v>
      </c>
      <c r="AP9" s="772"/>
      <c r="AQ9" s="39"/>
      <c r="AR9" s="783" t="s">
        <v>269</v>
      </c>
      <c r="AS9" s="126" t="s">
        <v>2</v>
      </c>
      <c r="AT9" s="126" t="s">
        <v>75</v>
      </c>
      <c r="AU9" s="126" t="s">
        <v>78</v>
      </c>
      <c r="AV9" s="126" t="s">
        <v>68</v>
      </c>
      <c r="AW9" s="781"/>
      <c r="AX9" s="781"/>
      <c r="AY9" s="781"/>
      <c r="AZ9" s="781"/>
      <c r="BA9" s="785"/>
      <c r="BB9" s="39"/>
      <c r="BC9" s="129" t="s">
        <v>140</v>
      </c>
      <c r="BD9" s="39"/>
      <c r="BE9" s="39"/>
      <c r="BF9" s="39"/>
      <c r="BG9" s="39"/>
      <c r="BH9" s="39"/>
      <c r="BI9" s="39"/>
      <c r="BJ9" s="39"/>
      <c r="BK9" s="39"/>
      <c r="BL9" s="39"/>
      <c r="BM9" s="130" t="s">
        <v>158</v>
      </c>
      <c r="BN9" s="39"/>
      <c r="BO9" s="39"/>
      <c r="BP9" s="39"/>
      <c r="BQ9" s="39"/>
      <c r="BR9" s="39"/>
      <c r="BS9" s="39"/>
      <c r="BT9" s="39"/>
      <c r="BU9" s="39"/>
      <c r="BV9" s="39"/>
      <c r="BW9" s="39"/>
      <c r="BX9" s="39"/>
      <c r="BY9" s="39"/>
      <c r="BZ9" s="39"/>
      <c r="CA9" s="39"/>
      <c r="CB9" s="39"/>
      <c r="CC9" s="39"/>
      <c r="CD9" s="39"/>
      <c r="CE9" s="39"/>
    </row>
    <row r="10" spans="1:83" ht="14.25" customHeight="1">
      <c r="A10" s="39"/>
      <c r="B10" s="776"/>
      <c r="C10" s="777"/>
      <c r="D10" s="779"/>
      <c r="E10" s="132" t="s">
        <v>270</v>
      </c>
      <c r="F10" s="132" t="s">
        <v>271</v>
      </c>
      <c r="G10" s="132" t="s">
        <v>271</v>
      </c>
      <c r="H10" s="132" t="s">
        <v>272</v>
      </c>
      <c r="I10" s="133" t="s">
        <v>273</v>
      </c>
      <c r="J10" s="134"/>
      <c r="K10" s="48" t="s">
        <v>271</v>
      </c>
      <c r="L10" s="48" t="s">
        <v>41</v>
      </c>
      <c r="M10" s="780"/>
      <c r="N10" s="780"/>
      <c r="O10" s="39"/>
      <c r="P10" s="776"/>
      <c r="Q10" s="777"/>
      <c r="R10" s="782"/>
      <c r="S10" s="132" t="s">
        <v>274</v>
      </c>
      <c r="T10" s="132" t="s">
        <v>275</v>
      </c>
      <c r="U10" s="132" t="s">
        <v>275</v>
      </c>
      <c r="V10" s="132" t="s">
        <v>276</v>
      </c>
      <c r="W10" s="133" t="s">
        <v>277</v>
      </c>
      <c r="X10" s="134"/>
      <c r="Y10" s="48" t="s">
        <v>275</v>
      </c>
      <c r="Z10" s="48" t="s">
        <v>41</v>
      </c>
      <c r="AA10" s="773"/>
      <c r="AB10" s="774"/>
      <c r="AC10" s="39"/>
      <c r="AD10" s="776"/>
      <c r="AE10" s="777"/>
      <c r="AF10" s="779"/>
      <c r="AG10" s="132" t="s">
        <v>274</v>
      </c>
      <c r="AH10" s="132" t="s">
        <v>275</v>
      </c>
      <c r="AI10" s="132" t="s">
        <v>275</v>
      </c>
      <c r="AJ10" s="132" t="s">
        <v>276</v>
      </c>
      <c r="AK10" s="133" t="s">
        <v>277</v>
      </c>
      <c r="AL10" s="134"/>
      <c r="AM10" s="48" t="s">
        <v>275</v>
      </c>
      <c r="AN10" s="48" t="s">
        <v>41</v>
      </c>
      <c r="AO10" s="773"/>
      <c r="AP10" s="774"/>
      <c r="AQ10" s="39"/>
      <c r="AR10" s="784"/>
      <c r="AS10" s="132" t="s">
        <v>274</v>
      </c>
      <c r="AT10" s="131" t="s">
        <v>259</v>
      </c>
      <c r="AU10" s="131" t="s">
        <v>278</v>
      </c>
      <c r="AV10" s="131" t="s">
        <v>67</v>
      </c>
      <c r="AW10" s="782"/>
      <c r="AX10" s="782"/>
      <c r="AY10" s="782"/>
      <c r="AZ10" s="782"/>
      <c r="BA10" s="786"/>
      <c r="BB10" s="39"/>
      <c r="BC10" s="135"/>
      <c r="BD10" s="136"/>
      <c r="BE10" s="137"/>
      <c r="BF10" s="787" t="s">
        <v>135</v>
      </c>
      <c r="BG10" s="789" t="s">
        <v>97</v>
      </c>
      <c r="BH10" s="789" t="s">
        <v>101</v>
      </c>
      <c r="BI10" s="802" t="s">
        <v>137</v>
      </c>
      <c r="BJ10" s="789" t="s">
        <v>2</v>
      </c>
      <c r="BK10" s="798" t="s">
        <v>108</v>
      </c>
      <c r="BL10" s="39"/>
      <c r="BM10" s="800" t="s">
        <v>149</v>
      </c>
      <c r="BN10" s="745" t="s">
        <v>248</v>
      </c>
      <c r="BO10" s="741"/>
      <c r="BP10" s="39"/>
      <c r="BQ10" s="39"/>
      <c r="BR10" s="138"/>
      <c r="BS10" s="39"/>
      <c r="BT10" s="39"/>
      <c r="BU10" s="791" t="s">
        <v>145</v>
      </c>
      <c r="BV10" s="791"/>
      <c r="BW10" s="791"/>
      <c r="BX10" s="791"/>
      <c r="BY10" s="791"/>
      <c r="BZ10" s="791"/>
      <c r="CA10" s="791"/>
      <c r="CB10" s="791"/>
      <c r="CC10" s="39"/>
      <c r="CD10" s="39"/>
      <c r="CE10" s="39"/>
    </row>
    <row r="11" spans="1:83" ht="18" customHeight="1" thickBot="1">
      <c r="A11" s="39"/>
      <c r="B11" s="99" t="s">
        <v>139</v>
      </c>
      <c r="C11" s="727"/>
      <c r="D11" s="733"/>
      <c r="E11" s="734"/>
      <c r="F11" s="734"/>
      <c r="G11" s="734"/>
      <c r="H11" s="139">
        <f>IF(LEN(E11)*LEN(D11)=0,"",Zaiseki(D11,E11,F$37))</f>
      </c>
      <c r="I11" s="140">
        <f>((E11^2)/4*3.14/10000)</f>
        <v>0</v>
      </c>
      <c r="J11" s="213"/>
      <c r="K11" s="49"/>
      <c r="L11" s="704">
        <f aca="true" t="shared" si="3" ref="L11:L35">IF(E11="","",IF(E11&gt;E$37,"○","△"))</f>
      </c>
      <c r="M11" s="51" t="str">
        <f aca="true" t="shared" si="4" ref="M11:M21">IF(AND(L11="○",F11&gt;0),"○有",IF(AND(L11="△",F11&gt;0),"△有","　"))</f>
        <v>　</v>
      </c>
      <c r="N11" s="51" t="str">
        <f aca="true" t="shared" si="5" ref="N11:N21">IF(AND(C11="×",F11&gt;0),"×有",IF(AND(C11="○",G11&gt;0),"○有","　"))</f>
        <v>　</v>
      </c>
      <c r="O11" s="39"/>
      <c r="P11" s="99" t="s">
        <v>139</v>
      </c>
      <c r="Q11" s="727"/>
      <c r="R11" s="733"/>
      <c r="S11" s="919"/>
      <c r="T11" s="919"/>
      <c r="U11" s="919"/>
      <c r="V11" s="139">
        <f>IF(LEN(S11)*LEN(R11)=0,"",Zaiseki(R11,S11,T$37))</f>
      </c>
      <c r="W11" s="140">
        <f>(S11^2)/4*3.14/10000</f>
        <v>0</v>
      </c>
      <c r="X11" s="213"/>
      <c r="Y11" s="49"/>
      <c r="Z11" s="704">
        <f aca="true" t="shared" si="6" ref="Z11:Z35">IF(S11="","",IF(S11&gt;S$37,"○","△"))</f>
      </c>
      <c r="AA11" s="51" t="str">
        <f aca="true" t="shared" si="7" ref="AA11:AA19">IF(AND(Z11="○",T11&gt;0),"○有",IF(AND(Z11="△",T11&gt;0),"△有","　"))</f>
        <v>　</v>
      </c>
      <c r="AB11" s="51" t="str">
        <f aca="true" t="shared" si="8" ref="AB11:AB19">IF(AND(Q11="×",T11&gt;0),"×有",IF(AND(Q11="○",U11&gt;0),"○有","　"))</f>
        <v>　</v>
      </c>
      <c r="AC11" s="39"/>
      <c r="AD11" s="99">
        <v>1</v>
      </c>
      <c r="AE11" s="727"/>
      <c r="AF11" s="733"/>
      <c r="AG11" s="919"/>
      <c r="AH11" s="919"/>
      <c r="AI11" s="919"/>
      <c r="AJ11" s="139">
        <f>IF(LEN(AG11)*LEN(AF11)=0,"",Zaiseki(AF11,AG11,AH$37))</f>
      </c>
      <c r="AK11" s="140">
        <f>(AG11^2)/4*3.14/10000</f>
        <v>0</v>
      </c>
      <c r="AL11" s="142"/>
      <c r="AM11" s="49"/>
      <c r="AN11" s="704">
        <f aca="true" t="shared" si="9" ref="AN11:AN35">IF(AG11="","",IF(AG11&gt;AG$37,"○","△"))</f>
      </c>
      <c r="AO11" s="51" t="str">
        <f aca="true" t="shared" si="10" ref="AO11:AO19">IF(AND(AN11="○",AH11&gt;0),"○有",IF(AND(AN11="△",AH11&gt;0),"△有","　"))</f>
        <v>　</v>
      </c>
      <c r="AP11" s="51" t="str">
        <f aca="true" t="shared" si="11" ref="AP11:AP19">IF(AND(AE11="×",AH11&gt;0),"×有",IF(AND(AE11="○",AI11&gt;0),"○有","　"))</f>
        <v>　</v>
      </c>
      <c r="AQ11" s="39"/>
      <c r="AR11" s="99"/>
      <c r="AS11" s="143" t="s">
        <v>71</v>
      </c>
      <c r="AT11" s="144">
        <f>COUNTIF(E11:E35,"&lt;12")+COUNTIF(S11:S35,"&lt;12")+COUNTIF(AG11:AG35,"&lt;12")</f>
        <v>0</v>
      </c>
      <c r="AU11" s="144">
        <f>SUMPRODUCT(($E$11:$E$35&lt;12)*($C$11:$C$35="×"))+SUMPRODUCT(($S$11:$S$35&lt;12)*($Q$11:$Q$35="×"))+SUMPRODUCT(($AG$11:$AG$35&lt;12)*($AE$11:$AE$35="×"))</f>
        <v>0</v>
      </c>
      <c r="AV11" s="144">
        <f>AT11-AU11</f>
        <v>0</v>
      </c>
      <c r="AW11" s="143"/>
      <c r="AX11" s="145"/>
      <c r="AY11" s="146"/>
      <c r="AZ11" s="705"/>
      <c r="BA11" s="148"/>
      <c r="BB11" s="39"/>
      <c r="BC11" s="149"/>
      <c r="BD11" s="150"/>
      <c r="BE11" s="151"/>
      <c r="BF11" s="788"/>
      <c r="BG11" s="790"/>
      <c r="BH11" s="790"/>
      <c r="BI11" s="803"/>
      <c r="BJ11" s="790"/>
      <c r="BK11" s="799"/>
      <c r="BL11" s="39"/>
      <c r="BM11" s="801"/>
      <c r="BN11" s="745" t="s">
        <v>246</v>
      </c>
      <c r="BO11" s="741"/>
      <c r="BP11" s="39"/>
      <c r="BQ11" s="39"/>
      <c r="BR11" s="138"/>
      <c r="BS11" s="39"/>
      <c r="BT11" s="39"/>
      <c r="BU11" s="791"/>
      <c r="BV11" s="791"/>
      <c r="BW11" s="791"/>
      <c r="BX11" s="791"/>
      <c r="BY11" s="791"/>
      <c r="BZ11" s="791"/>
      <c r="CA11" s="791"/>
      <c r="CB11" s="791"/>
      <c r="CC11" s="39"/>
      <c r="CD11" s="39"/>
      <c r="CE11" s="39"/>
    </row>
    <row r="12" spans="1:83" ht="18">
      <c r="A12" s="39"/>
      <c r="B12" s="99">
        <v>2</v>
      </c>
      <c r="C12" s="727"/>
      <c r="D12" s="733"/>
      <c r="E12" s="734"/>
      <c r="F12" s="734"/>
      <c r="G12" s="734"/>
      <c r="H12" s="139">
        <f aca="true" t="shared" si="12" ref="H12:H35">IF(LEN(E12)*LEN(D12)=0,"",Zaiseki(D12,E12,F$37))</f>
      </c>
      <c r="I12" s="140">
        <f aca="true" t="shared" si="13" ref="I12:I35">((E12^2)/4*3.14/10000)</f>
        <v>0</v>
      </c>
      <c r="J12" s="213"/>
      <c r="K12" s="49"/>
      <c r="L12" s="704">
        <f t="shared" si="3"/>
      </c>
      <c r="M12" s="51" t="str">
        <f t="shared" si="4"/>
        <v>　</v>
      </c>
      <c r="N12" s="51" t="str">
        <f t="shared" si="5"/>
        <v>　</v>
      </c>
      <c r="O12" s="39"/>
      <c r="P12" s="99">
        <v>2</v>
      </c>
      <c r="Q12" s="727"/>
      <c r="R12" s="920"/>
      <c r="S12" s="919"/>
      <c r="T12" s="919"/>
      <c r="U12" s="919"/>
      <c r="V12" s="139">
        <f aca="true" t="shared" si="14" ref="V12:V35">IF(LEN(S12)*LEN(R12)=0,"",Zaiseki(R12,S12,T$37))</f>
      </c>
      <c r="W12" s="140">
        <f aca="true" t="shared" si="15" ref="W12:W35">(S12^2)/4*3.14/10000</f>
        <v>0</v>
      </c>
      <c r="X12" s="213"/>
      <c r="Y12" s="49"/>
      <c r="Z12" s="704">
        <f t="shared" si="6"/>
      </c>
      <c r="AA12" s="51" t="str">
        <f t="shared" si="7"/>
        <v>　</v>
      </c>
      <c r="AB12" s="51" t="str">
        <f t="shared" si="8"/>
        <v>　</v>
      </c>
      <c r="AC12" s="39"/>
      <c r="AD12" s="99">
        <v>2</v>
      </c>
      <c r="AE12" s="727"/>
      <c r="AF12" s="920"/>
      <c r="AG12" s="919"/>
      <c r="AH12" s="919"/>
      <c r="AI12" s="919"/>
      <c r="AJ12" s="139">
        <f aca="true" t="shared" si="16" ref="AJ12:AJ35">IF(LEN(AG12)*LEN(AF12)=0,"",Zaiseki(AF12,AG12,AH$37))</f>
      </c>
      <c r="AK12" s="140">
        <f>(AG12^2)/4*3.14/10000</f>
        <v>0</v>
      </c>
      <c r="AL12" s="142"/>
      <c r="AM12" s="49"/>
      <c r="AN12" s="704">
        <f t="shared" si="9"/>
      </c>
      <c r="AO12" s="51" t="str">
        <f t="shared" si="10"/>
        <v>　</v>
      </c>
      <c r="AP12" s="51" t="str">
        <f t="shared" si="11"/>
        <v>　</v>
      </c>
      <c r="AQ12" s="39"/>
      <c r="AR12" s="99"/>
      <c r="AS12" s="143" t="s">
        <v>47</v>
      </c>
      <c r="AT12" s="144">
        <f>(COUNTIF(E11:E35,"&gt;=12")-COUNTIF(E11:E35,"&gt;=14"))+(COUNTIF(S11:S35,"&gt;=12")-COUNTIF(S11:S35,"&gt;=14"))+(COUNTIF(AG11:AG35,"&gt;=12")-COUNTIF(AG11:AG35,"&gt;=14"))</f>
        <v>0</v>
      </c>
      <c r="AU12" s="144">
        <f>SUMPRODUCT(($E$11:$E$35&gt;=12)*($E$11:$E$35&lt;14)*($C$11:$C$35="×"))+SUMPRODUCT(($S$11:$S$35&gt;=12)*($S$11:$S$35&lt;14)*($Q$11:$Q$35="×"))+SUMPRODUCT(($AG$11:$AG$35&gt;=12)*($AG$11:$AG$35&lt;14)*($AE$11:$AE$35="×"))</f>
        <v>0</v>
      </c>
      <c r="AV12" s="144">
        <f aca="true" t="shared" si="17" ref="AV12:AV32">AT12-AU12</f>
        <v>0</v>
      </c>
      <c r="AW12" s="143"/>
      <c r="AX12" s="145"/>
      <c r="AY12" s="146"/>
      <c r="AZ12" s="705"/>
      <c r="BA12" s="148"/>
      <c r="BB12" s="39"/>
      <c r="BC12" s="152"/>
      <c r="BD12" s="153"/>
      <c r="BE12" s="154" t="s">
        <v>99</v>
      </c>
      <c r="BF12" s="535">
        <f>VLOOKUP(BD15,'条件'!$B$12:$D$20,'条件'!$G$13,TRUE)</f>
        <v>55</v>
      </c>
      <c r="BG12" s="155">
        <v>0.4</v>
      </c>
      <c r="BH12" s="156" t="e">
        <f>BF12/((CA68/2)^2*PI())</f>
        <v>#DIV/0!</v>
      </c>
      <c r="BI12" s="157">
        <f>$AT$47</f>
        <v>0</v>
      </c>
      <c r="BJ12" s="158">
        <f>((BI12/(BK12*4/8))*2)</f>
        <v>0</v>
      </c>
      <c r="BK12" s="536">
        <f>VLOOKUP(BD15,'条件'!$B$26:$D$35,'条件'!$G$13,TRUE)</f>
        <v>150</v>
      </c>
      <c r="BL12" s="39"/>
      <c r="BM12" s="159" t="s">
        <v>150</v>
      </c>
      <c r="BN12" s="160">
        <v>40</v>
      </c>
      <c r="BO12" s="161">
        <v>55</v>
      </c>
      <c r="BP12" s="39"/>
      <c r="BQ12" s="39"/>
      <c r="BR12" s="162"/>
      <c r="BS12" s="808"/>
      <c r="BT12" s="808"/>
      <c r="BU12" s="39"/>
      <c r="BV12" s="39"/>
      <c r="BW12" s="39"/>
      <c r="BX12" s="39"/>
      <c r="BY12" s="39"/>
      <c r="BZ12" s="39"/>
      <c r="CA12" s="39"/>
      <c r="CB12" s="39"/>
      <c r="CC12" s="39"/>
      <c r="CD12" s="39"/>
      <c r="CE12" s="39"/>
    </row>
    <row r="13" spans="1:83" ht="18">
      <c r="A13" s="39"/>
      <c r="B13" s="99">
        <v>3</v>
      </c>
      <c r="C13" s="727"/>
      <c r="D13" s="733"/>
      <c r="E13" s="734"/>
      <c r="F13" s="734"/>
      <c r="G13" s="734"/>
      <c r="H13" s="139">
        <f t="shared" si="12"/>
      </c>
      <c r="I13" s="140">
        <f t="shared" si="13"/>
        <v>0</v>
      </c>
      <c r="J13" s="213"/>
      <c r="K13" s="49"/>
      <c r="L13" s="704">
        <f t="shared" si="3"/>
      </c>
      <c r="M13" s="51" t="str">
        <f t="shared" si="4"/>
        <v>　</v>
      </c>
      <c r="N13" s="51" t="str">
        <f t="shared" si="5"/>
        <v>　</v>
      </c>
      <c r="O13" s="39"/>
      <c r="P13" s="99">
        <v>3</v>
      </c>
      <c r="Q13" s="727"/>
      <c r="R13" s="920"/>
      <c r="S13" s="919"/>
      <c r="T13" s="919"/>
      <c r="U13" s="919"/>
      <c r="V13" s="139">
        <f t="shared" si="14"/>
      </c>
      <c r="W13" s="140">
        <f t="shared" si="15"/>
        <v>0</v>
      </c>
      <c r="X13" s="213"/>
      <c r="Y13" s="49"/>
      <c r="Z13" s="704">
        <f t="shared" si="6"/>
      </c>
      <c r="AA13" s="51" t="str">
        <f t="shared" si="7"/>
        <v>　</v>
      </c>
      <c r="AB13" s="51" t="str">
        <f t="shared" si="8"/>
        <v>　</v>
      </c>
      <c r="AC13" s="39"/>
      <c r="AD13" s="99">
        <v>3</v>
      </c>
      <c r="AE13" s="727"/>
      <c r="AF13" s="920"/>
      <c r="AG13" s="919"/>
      <c r="AH13" s="919"/>
      <c r="AI13" s="919"/>
      <c r="AJ13" s="139">
        <f t="shared" si="16"/>
      </c>
      <c r="AK13" s="140">
        <f aca="true" t="shared" si="18" ref="AK13:AK35">(AG13^2)/4*3.14/10000</f>
        <v>0</v>
      </c>
      <c r="AL13" s="142"/>
      <c r="AM13" s="49"/>
      <c r="AN13" s="704">
        <f t="shared" si="9"/>
      </c>
      <c r="AO13" s="51" t="str">
        <f t="shared" si="10"/>
        <v>　</v>
      </c>
      <c r="AP13" s="51" t="str">
        <f t="shared" si="11"/>
        <v>　</v>
      </c>
      <c r="AQ13" s="39"/>
      <c r="AR13" s="99"/>
      <c r="AS13" s="143" t="s">
        <v>48</v>
      </c>
      <c r="AT13" s="144">
        <f>(COUNTIF(E11:E35,"&gt;=14")-COUNTIF(E11:E35,"&gt;=16"))+(COUNTIF(S11:S35,"&gt;=14")-COUNTIF(S11:S35,"&gt;=16"))+(COUNTIF(AG11:AG35,"&gt;=14")-COUNTIF(AG11:AG35,"&gt;=16"))</f>
        <v>0</v>
      </c>
      <c r="AU13" s="144">
        <f>SUMPRODUCT(($E$11:$E$35&gt;=14)*($E$11:$E$35&lt;16)*($C$11:$C$35="×"))+SUMPRODUCT(($S$11:$S$35&gt;=14)*($S$11:$S$35&lt;16)*($Q$11:$Q$35="×"))+SUMPRODUCT(($AG$11:$AG$35&gt;=14)*($AG$11:$AG$35&lt;16)*($AE$11:$AE$35="×"))</f>
        <v>0</v>
      </c>
      <c r="AV13" s="144">
        <f t="shared" si="17"/>
        <v>0</v>
      </c>
      <c r="AW13" s="143"/>
      <c r="AX13" s="145"/>
      <c r="AY13" s="146"/>
      <c r="AZ13" s="705"/>
      <c r="BA13" s="148"/>
      <c r="BB13" s="39"/>
      <c r="BC13" s="792" t="str">
        <f>BC45</f>
        <v>間伐前</v>
      </c>
      <c r="BD13" s="793"/>
      <c r="BE13" s="796" t="s">
        <v>103</v>
      </c>
      <c r="BF13" s="163">
        <f>(BF12-BF15)*0.62</f>
        <v>34.1</v>
      </c>
      <c r="BG13" s="164" t="s">
        <v>153</v>
      </c>
      <c r="BH13" s="165" t="e">
        <f>BH12*0.62</f>
        <v>#DIV/0!</v>
      </c>
      <c r="BI13" s="166">
        <f>$AT$47*0.62</f>
        <v>0</v>
      </c>
      <c r="BJ13" s="167">
        <f>(BJ12-BJ15)*0.62+BJ15</f>
        <v>0</v>
      </c>
      <c r="BK13" s="168">
        <f>BK12*0.62</f>
        <v>93</v>
      </c>
      <c r="BL13" s="39"/>
      <c r="BM13" s="169" t="s">
        <v>109</v>
      </c>
      <c r="BN13" s="160">
        <v>50</v>
      </c>
      <c r="BO13" s="170">
        <v>65</v>
      </c>
      <c r="BP13" s="39"/>
      <c r="BQ13" s="39"/>
      <c r="BR13" s="171"/>
      <c r="BS13" s="39"/>
      <c r="BT13" s="39"/>
      <c r="BU13" s="39"/>
      <c r="BV13" s="39"/>
      <c r="BW13" s="39"/>
      <c r="BX13" s="39"/>
      <c r="BY13" s="39"/>
      <c r="BZ13" s="39"/>
      <c r="CA13" s="39"/>
      <c r="CB13" s="39"/>
      <c r="CC13" s="39"/>
      <c r="CD13" s="39"/>
      <c r="CE13" s="39"/>
    </row>
    <row r="14" spans="1:83" ht="18">
      <c r="A14" s="39"/>
      <c r="B14" s="99">
        <v>4</v>
      </c>
      <c r="C14" s="727"/>
      <c r="D14" s="733"/>
      <c r="E14" s="734"/>
      <c r="F14" s="734"/>
      <c r="G14" s="734"/>
      <c r="H14" s="139">
        <f t="shared" si="12"/>
      </c>
      <c r="I14" s="140">
        <f t="shared" si="13"/>
        <v>0</v>
      </c>
      <c r="J14" s="213"/>
      <c r="K14" s="49"/>
      <c r="L14" s="704">
        <f t="shared" si="3"/>
      </c>
      <c r="M14" s="51" t="str">
        <f t="shared" si="4"/>
        <v>　</v>
      </c>
      <c r="N14" s="51" t="str">
        <f t="shared" si="5"/>
        <v>　</v>
      </c>
      <c r="O14" s="39"/>
      <c r="P14" s="99">
        <v>4</v>
      </c>
      <c r="Q14" s="727"/>
      <c r="R14" s="920"/>
      <c r="S14" s="919"/>
      <c r="T14" s="919"/>
      <c r="U14" s="919"/>
      <c r="V14" s="139">
        <f t="shared" si="14"/>
      </c>
      <c r="W14" s="140">
        <f t="shared" si="15"/>
        <v>0</v>
      </c>
      <c r="X14" s="213"/>
      <c r="Y14" s="49"/>
      <c r="Z14" s="704">
        <f t="shared" si="6"/>
      </c>
      <c r="AA14" s="51" t="str">
        <f t="shared" si="7"/>
        <v>　</v>
      </c>
      <c r="AB14" s="51" t="str">
        <f t="shared" si="8"/>
        <v>　</v>
      </c>
      <c r="AC14" s="39"/>
      <c r="AD14" s="99">
        <v>4</v>
      </c>
      <c r="AE14" s="727"/>
      <c r="AF14" s="920"/>
      <c r="AG14" s="919"/>
      <c r="AH14" s="919"/>
      <c r="AI14" s="919"/>
      <c r="AJ14" s="139">
        <f t="shared" si="16"/>
      </c>
      <c r="AK14" s="140">
        <f t="shared" si="18"/>
        <v>0</v>
      </c>
      <c r="AL14" s="142"/>
      <c r="AM14" s="49"/>
      <c r="AN14" s="704">
        <f t="shared" si="9"/>
      </c>
      <c r="AO14" s="51" t="str">
        <f t="shared" si="10"/>
        <v>　</v>
      </c>
      <c r="AP14" s="51" t="str">
        <f t="shared" si="11"/>
        <v>　</v>
      </c>
      <c r="AQ14" s="39"/>
      <c r="AR14" s="99"/>
      <c r="AS14" s="143" t="s">
        <v>49</v>
      </c>
      <c r="AT14" s="144">
        <f>(COUNTIF(E11:E35,"&gt;=16")-COUNTIF(E11:E35,"&gt;=18"))+(COUNTIF(S11:S35,"&gt;=16")-COUNTIF(S11:S35,"&gt;=18"))+(COUNTIF(AG11:AG35,"&gt;=16")-COUNTIF(AG11:AG35,"&gt;=18"))</f>
        <v>0</v>
      </c>
      <c r="AU14" s="144">
        <f>SUMPRODUCT(($E$11:$E$35&gt;=16)*($E$11:$E$35&lt;18)*($C$11:$C$35="×"))+SUMPRODUCT(($S$11:$S$35&gt;=16)*($S$11:$S$35&lt;18)*($Q$11:$Q$35="×"))+SUMPRODUCT(($AG$11:$AG$35&gt;=16)*($AG$11:$AG$35&lt;18)*($AE$11:$AE$35="×"))</f>
        <v>0</v>
      </c>
      <c r="AV14" s="144">
        <f t="shared" si="17"/>
        <v>0</v>
      </c>
      <c r="AW14" s="143"/>
      <c r="AX14" s="145"/>
      <c r="AY14" s="146"/>
      <c r="AZ14" s="705"/>
      <c r="BA14" s="148"/>
      <c r="BB14" s="39"/>
      <c r="BC14" s="794"/>
      <c r="BD14" s="795"/>
      <c r="BE14" s="797"/>
      <c r="BF14" s="172">
        <f>BF12*0.38</f>
        <v>20.9</v>
      </c>
      <c r="BG14" s="173" t="s">
        <v>154</v>
      </c>
      <c r="BH14" s="174" t="e">
        <f>BH12*0.38</f>
        <v>#DIV/0!</v>
      </c>
      <c r="BI14" s="175">
        <f>$AT$47*0.38</f>
        <v>0</v>
      </c>
      <c r="BJ14" s="176">
        <f>(BJ12-BJ15)*0.38+BJ15</f>
        <v>0</v>
      </c>
      <c r="BK14" s="177">
        <f>BK12*0.38</f>
        <v>57</v>
      </c>
      <c r="BL14" s="39"/>
      <c r="BM14" s="169" t="s">
        <v>110</v>
      </c>
      <c r="BN14" s="160">
        <v>60</v>
      </c>
      <c r="BO14" s="170">
        <v>75</v>
      </c>
      <c r="BP14" s="39"/>
      <c r="BQ14" s="39"/>
      <c r="BR14" s="171"/>
      <c r="BS14" s="39"/>
      <c r="BT14" s="39"/>
      <c r="BU14" s="87"/>
      <c r="BV14" s="39"/>
      <c r="BW14" s="39"/>
      <c r="BX14" s="39"/>
      <c r="BY14" s="39"/>
      <c r="BZ14" s="39"/>
      <c r="CA14" s="39"/>
      <c r="CB14" s="39"/>
      <c r="CC14" s="39"/>
      <c r="CD14" s="39"/>
      <c r="CE14" s="39"/>
    </row>
    <row r="15" spans="1:83" ht="18.75" thickBot="1">
      <c r="A15" s="39"/>
      <c r="B15" s="99">
        <v>5</v>
      </c>
      <c r="C15" s="727"/>
      <c r="D15" s="733"/>
      <c r="E15" s="734"/>
      <c r="F15" s="734"/>
      <c r="G15" s="734"/>
      <c r="H15" s="139">
        <f t="shared" si="12"/>
      </c>
      <c r="I15" s="140">
        <f t="shared" si="13"/>
        <v>0</v>
      </c>
      <c r="J15" s="213"/>
      <c r="K15" s="49"/>
      <c r="L15" s="704">
        <f t="shared" si="3"/>
      </c>
      <c r="M15" s="51" t="str">
        <f t="shared" si="4"/>
        <v>　</v>
      </c>
      <c r="N15" s="51" t="str">
        <f t="shared" si="5"/>
        <v>　</v>
      </c>
      <c r="O15" s="39"/>
      <c r="P15" s="99">
        <v>5</v>
      </c>
      <c r="Q15" s="727"/>
      <c r="R15" s="920"/>
      <c r="S15" s="919"/>
      <c r="T15" s="919"/>
      <c r="U15" s="919"/>
      <c r="V15" s="139">
        <f t="shared" si="14"/>
      </c>
      <c r="W15" s="140">
        <f t="shared" si="15"/>
        <v>0</v>
      </c>
      <c r="X15" s="213"/>
      <c r="Y15" s="49"/>
      <c r="Z15" s="704">
        <f t="shared" si="6"/>
      </c>
      <c r="AA15" s="51" t="str">
        <f t="shared" si="7"/>
        <v>　</v>
      </c>
      <c r="AB15" s="51" t="str">
        <f t="shared" si="8"/>
        <v>　</v>
      </c>
      <c r="AC15" s="39"/>
      <c r="AD15" s="99">
        <v>5</v>
      </c>
      <c r="AE15" s="727"/>
      <c r="AF15" s="920"/>
      <c r="AG15" s="919"/>
      <c r="AH15" s="919"/>
      <c r="AI15" s="919"/>
      <c r="AJ15" s="139">
        <f t="shared" si="16"/>
      </c>
      <c r="AK15" s="140">
        <f t="shared" si="18"/>
        <v>0</v>
      </c>
      <c r="AL15" s="142"/>
      <c r="AM15" s="49"/>
      <c r="AN15" s="704">
        <f t="shared" si="9"/>
      </c>
      <c r="AO15" s="51" t="str">
        <f t="shared" si="10"/>
        <v>　</v>
      </c>
      <c r="AP15" s="51" t="str">
        <f t="shared" si="11"/>
        <v>　</v>
      </c>
      <c r="AQ15" s="39"/>
      <c r="AR15" s="99"/>
      <c r="AS15" s="143" t="s">
        <v>50</v>
      </c>
      <c r="AT15" s="144">
        <f>(COUNTIF(E11:E35,"&gt;=18")-COUNTIF(E11:E35,"&gt;=20"))+(COUNTIF(S11:S35,"&gt;=18")-COUNTIF(S11:S35,"&gt;=20"))+(COUNTIF(AG11:AG35,"&gt;=18")-COUNTIF(AG11:AG35,"&gt;=20"))</f>
        <v>0</v>
      </c>
      <c r="AU15" s="144">
        <f>SUMPRODUCT(($E$11:$E$35&gt;=18)*($E$11:$E$35&lt;20)*($C$11:$C$35="×"))+SUMPRODUCT(($S$11:$S$35&gt;=18)*($S$11:$S$35&lt;20)*($Q$11:$Q$35="×"))+SUMPRODUCT(($AG$11:$AG$35&gt;=18)*($AG$11:$AG$35&lt;20)*($AE$11:$AE$35="×"))</f>
        <v>0</v>
      </c>
      <c r="AV15" s="144">
        <f t="shared" si="17"/>
        <v>0</v>
      </c>
      <c r="AW15" s="143"/>
      <c r="AX15" s="145"/>
      <c r="AY15" s="146"/>
      <c r="AZ15" s="705"/>
      <c r="BA15" s="178"/>
      <c r="BB15" s="39"/>
      <c r="BC15" s="179" t="s">
        <v>157</v>
      </c>
      <c r="BD15" s="534">
        <f>BG45</f>
        <v>0</v>
      </c>
      <c r="BE15" s="181" t="s">
        <v>98</v>
      </c>
      <c r="BF15" s="182">
        <v>0</v>
      </c>
      <c r="BG15" s="183">
        <v>0</v>
      </c>
      <c r="BH15" s="184">
        <v>0</v>
      </c>
      <c r="BI15" s="185">
        <v>0</v>
      </c>
      <c r="BJ15" s="186">
        <v>0</v>
      </c>
      <c r="BK15" s="187">
        <v>0</v>
      </c>
      <c r="BL15" s="39"/>
      <c r="BM15" s="169" t="s">
        <v>111</v>
      </c>
      <c r="BN15" s="160">
        <v>70</v>
      </c>
      <c r="BO15" s="170">
        <v>85</v>
      </c>
      <c r="BP15" s="39"/>
      <c r="BQ15" s="39"/>
      <c r="BR15" s="171"/>
      <c r="BS15" s="39"/>
      <c r="BT15" s="39"/>
      <c r="BU15" s="39"/>
      <c r="BV15" s="39"/>
      <c r="BW15" s="39"/>
      <c r="BX15" s="39"/>
      <c r="BY15" s="39"/>
      <c r="BZ15" s="39"/>
      <c r="CA15" s="39"/>
      <c r="CB15" s="39"/>
      <c r="CC15" s="39"/>
      <c r="CD15" s="39"/>
      <c r="CE15" s="39"/>
    </row>
    <row r="16" spans="1:83" ht="18">
      <c r="A16" s="39"/>
      <c r="B16" s="99">
        <v>6</v>
      </c>
      <c r="C16" s="727"/>
      <c r="D16" s="733"/>
      <c r="E16" s="734"/>
      <c r="F16" s="734"/>
      <c r="G16" s="734"/>
      <c r="H16" s="139">
        <f t="shared" si="12"/>
      </c>
      <c r="I16" s="140">
        <f t="shared" si="13"/>
        <v>0</v>
      </c>
      <c r="J16" s="213"/>
      <c r="K16" s="49"/>
      <c r="L16" s="704">
        <f t="shared" si="3"/>
      </c>
      <c r="M16" s="51" t="str">
        <f t="shared" si="4"/>
        <v>　</v>
      </c>
      <c r="N16" s="51" t="str">
        <f t="shared" si="5"/>
        <v>　</v>
      </c>
      <c r="O16" s="39"/>
      <c r="P16" s="99">
        <v>6</v>
      </c>
      <c r="Q16" s="727"/>
      <c r="R16" s="920"/>
      <c r="S16" s="919"/>
      <c r="T16" s="919"/>
      <c r="U16" s="919"/>
      <c r="V16" s="139">
        <f t="shared" si="14"/>
      </c>
      <c r="W16" s="140">
        <f t="shared" si="15"/>
        <v>0</v>
      </c>
      <c r="X16" s="213"/>
      <c r="Y16" s="49"/>
      <c r="Z16" s="704">
        <f t="shared" si="6"/>
      </c>
      <c r="AA16" s="51" t="str">
        <f t="shared" si="7"/>
        <v>　</v>
      </c>
      <c r="AB16" s="51" t="str">
        <f t="shared" si="8"/>
        <v>　</v>
      </c>
      <c r="AC16" s="39"/>
      <c r="AD16" s="99">
        <v>6</v>
      </c>
      <c r="AE16" s="727"/>
      <c r="AF16" s="920"/>
      <c r="AG16" s="919"/>
      <c r="AH16" s="919"/>
      <c r="AI16" s="919"/>
      <c r="AJ16" s="139">
        <f t="shared" si="16"/>
      </c>
      <c r="AK16" s="140">
        <f t="shared" si="18"/>
        <v>0</v>
      </c>
      <c r="AL16" s="142"/>
      <c r="AM16" s="49"/>
      <c r="AN16" s="704">
        <f t="shared" si="9"/>
      </c>
      <c r="AO16" s="51" t="str">
        <f t="shared" si="10"/>
        <v>　</v>
      </c>
      <c r="AP16" s="51" t="str">
        <f t="shared" si="11"/>
        <v>　</v>
      </c>
      <c r="AQ16" s="39"/>
      <c r="AR16" s="99"/>
      <c r="AS16" s="143" t="s">
        <v>51</v>
      </c>
      <c r="AT16" s="144">
        <f>(COUNTIF(E11:E35,"&gt;=20")-COUNTIF(E11:E35,"&gt;=22"))+(COUNTIF(S11:S35,"&gt;=20")-COUNTIF(S11:S35,"&gt;=22"))+(COUNTIF(AG11:AG35,"&gt;=20")-COUNTIF(AG11:AG35,"&gt;=22"))</f>
        <v>0</v>
      </c>
      <c r="AU16" s="144">
        <f>SUMPRODUCT(($E$11:$E$35&gt;=20)*($E$11:$E$35&lt;22)*($C$11:$C$35="×"))+SUMPRODUCT(($S$11:$S$35&gt;=20)*($S$11:$S$35&lt;22)*($Q$11:$Q$35="×"))+SUMPRODUCT(($AG$11:$AG$35&gt;=20)*($AG$11:$AG$35&lt;22)*($AE$11:$AE$35="×"))</f>
        <v>0</v>
      </c>
      <c r="AV16" s="144">
        <f t="shared" si="17"/>
        <v>0</v>
      </c>
      <c r="AW16" s="143"/>
      <c r="AX16" s="145"/>
      <c r="AY16" s="146"/>
      <c r="AZ16" s="705"/>
      <c r="BA16" s="148"/>
      <c r="BB16" s="39"/>
      <c r="BC16" s="188"/>
      <c r="BD16" s="189"/>
      <c r="BE16" s="190" t="s">
        <v>99</v>
      </c>
      <c r="BF16" s="535">
        <f>VLOOKUP(BD19,'条件'!$B$12:$D$20,'条件'!$G$13,TRUE)</f>
        <v>55</v>
      </c>
      <c r="BG16" s="155">
        <v>0.4</v>
      </c>
      <c r="BH16" s="156" t="e">
        <f>BF16/((CA69/2)^2*PI())</f>
        <v>#DIV/0!</v>
      </c>
      <c r="BI16" s="157">
        <f>$AT$49</f>
        <v>0</v>
      </c>
      <c r="BJ16" s="158">
        <f>((BI16/(BK16*4/8))*2)</f>
        <v>0</v>
      </c>
      <c r="BK16" s="536">
        <f>VLOOKUP(BD19,'条件'!$B$26:$D$35,'条件'!$G$13,TRUE)</f>
        <v>150</v>
      </c>
      <c r="BL16" s="39"/>
      <c r="BM16" s="169" t="s">
        <v>112</v>
      </c>
      <c r="BN16" s="160">
        <v>80</v>
      </c>
      <c r="BO16" s="170">
        <v>90</v>
      </c>
      <c r="BP16" s="39"/>
      <c r="BQ16" s="39"/>
      <c r="BR16" s="171"/>
      <c r="BS16" s="39"/>
      <c r="BT16" s="39"/>
      <c r="BU16" s="39"/>
      <c r="BV16" s="39"/>
      <c r="BW16" s="39"/>
      <c r="BX16" s="39"/>
      <c r="BY16" s="39"/>
      <c r="BZ16" s="39"/>
      <c r="CA16" s="39"/>
      <c r="CB16" s="39"/>
      <c r="CC16" s="39"/>
      <c r="CD16" s="39"/>
      <c r="CE16" s="39"/>
    </row>
    <row r="17" spans="1:83" ht="18">
      <c r="A17" s="39"/>
      <c r="B17" s="99">
        <v>7</v>
      </c>
      <c r="C17" s="727"/>
      <c r="D17" s="733"/>
      <c r="E17" s="734"/>
      <c r="F17" s="734"/>
      <c r="G17" s="734"/>
      <c r="H17" s="139">
        <f t="shared" si="12"/>
      </c>
      <c r="I17" s="140">
        <f t="shared" si="13"/>
        <v>0</v>
      </c>
      <c r="J17" s="213"/>
      <c r="K17" s="49"/>
      <c r="L17" s="704">
        <f t="shared" si="3"/>
      </c>
      <c r="M17" s="51" t="str">
        <f t="shared" si="4"/>
        <v>　</v>
      </c>
      <c r="N17" s="51" t="str">
        <f t="shared" si="5"/>
        <v>　</v>
      </c>
      <c r="O17" s="39"/>
      <c r="P17" s="99">
        <v>7</v>
      </c>
      <c r="Q17" s="727"/>
      <c r="R17" s="920"/>
      <c r="S17" s="919"/>
      <c r="T17" s="919"/>
      <c r="U17" s="919"/>
      <c r="V17" s="139">
        <f t="shared" si="14"/>
      </c>
      <c r="W17" s="140">
        <f t="shared" si="15"/>
        <v>0</v>
      </c>
      <c r="X17" s="213"/>
      <c r="Y17" s="49"/>
      <c r="Z17" s="704">
        <f t="shared" si="6"/>
      </c>
      <c r="AA17" s="51" t="str">
        <f t="shared" si="7"/>
        <v>　</v>
      </c>
      <c r="AB17" s="51" t="str">
        <f t="shared" si="8"/>
        <v>　</v>
      </c>
      <c r="AC17" s="39"/>
      <c r="AD17" s="99">
        <v>7</v>
      </c>
      <c r="AE17" s="727"/>
      <c r="AF17" s="920"/>
      <c r="AG17" s="919"/>
      <c r="AH17" s="919"/>
      <c r="AI17" s="919"/>
      <c r="AJ17" s="139">
        <f t="shared" si="16"/>
      </c>
      <c r="AK17" s="140">
        <f t="shared" si="18"/>
        <v>0</v>
      </c>
      <c r="AL17" s="142"/>
      <c r="AM17" s="49"/>
      <c r="AN17" s="704">
        <f t="shared" si="9"/>
      </c>
      <c r="AO17" s="51" t="str">
        <f t="shared" si="10"/>
        <v>　</v>
      </c>
      <c r="AP17" s="51" t="str">
        <f t="shared" si="11"/>
        <v>　</v>
      </c>
      <c r="AQ17" s="39"/>
      <c r="AR17" s="99"/>
      <c r="AS17" s="143" t="s">
        <v>52</v>
      </c>
      <c r="AT17" s="144">
        <f>(COUNTIF(E11:E35,"&gt;=22")-COUNTIF(E11:E35,"&gt;=24"))+(COUNTIF(S11:S35,"&gt;=22")-COUNTIF(S11:S35,"&gt;=24"))+(COUNTIF(AG11:AG35,"&gt;=22")-COUNTIF(AG11:AG35,"&gt;=24"))</f>
        <v>0</v>
      </c>
      <c r="AU17" s="144">
        <f>SUMPRODUCT(($E$11:$E$35&gt;=22)*($E$11:$E$35&lt;24)*($C$11:$C$35="×"))+SUMPRODUCT(($S$11:$S$35&gt;=22)*($S$11:$S$35&lt;24)*($Q$11:$Q$35="×"))+SUMPRODUCT(($AG$11:$AG$35&gt;=22)*($AG$11:$AG$35&lt;24)*($AE$11:$AE$35="×"))</f>
        <v>0</v>
      </c>
      <c r="AV17" s="144">
        <f t="shared" si="17"/>
        <v>0</v>
      </c>
      <c r="AW17" s="143"/>
      <c r="AX17" s="145"/>
      <c r="AY17" s="146"/>
      <c r="AZ17" s="705"/>
      <c r="BA17" s="148"/>
      <c r="BB17" s="39"/>
      <c r="BC17" s="792" t="str">
        <f>BC46</f>
        <v>間伐後</v>
      </c>
      <c r="BD17" s="793"/>
      <c r="BE17" s="796" t="s">
        <v>103</v>
      </c>
      <c r="BF17" s="191">
        <f>BF16*0.62</f>
        <v>34.1</v>
      </c>
      <c r="BG17" s="164" t="s">
        <v>153</v>
      </c>
      <c r="BH17" s="192" t="e">
        <f>BH16*0.62</f>
        <v>#DIV/0!</v>
      </c>
      <c r="BI17" s="193">
        <f>$AT$49*0.62</f>
        <v>0</v>
      </c>
      <c r="BJ17" s="167">
        <f>(BJ16-BJ19)*0.62+BJ19</f>
        <v>0</v>
      </c>
      <c r="BK17" s="168">
        <f>BK16*0.62</f>
        <v>93</v>
      </c>
      <c r="BL17" s="39"/>
      <c r="BM17" s="169" t="s">
        <v>100</v>
      </c>
      <c r="BN17" s="160">
        <v>85</v>
      </c>
      <c r="BO17" s="170">
        <v>95</v>
      </c>
      <c r="BP17" s="39"/>
      <c r="BQ17" s="39"/>
      <c r="BR17" s="171"/>
      <c r="BS17" s="39"/>
      <c r="BT17" s="39"/>
      <c r="BU17" s="39"/>
      <c r="BV17" s="39"/>
      <c r="BW17" s="39"/>
      <c r="BX17" s="39"/>
      <c r="BY17" s="39"/>
      <c r="BZ17" s="39"/>
      <c r="CA17" s="39"/>
      <c r="CB17" s="39"/>
      <c r="CC17" s="39"/>
      <c r="CD17" s="39"/>
      <c r="CE17" s="39"/>
    </row>
    <row r="18" spans="1:83" ht="18">
      <c r="A18" s="39"/>
      <c r="B18" s="99">
        <v>8</v>
      </c>
      <c r="C18" s="727"/>
      <c r="D18" s="733"/>
      <c r="E18" s="734"/>
      <c r="F18" s="734"/>
      <c r="G18" s="734"/>
      <c r="H18" s="139">
        <f t="shared" si="12"/>
      </c>
      <c r="I18" s="140">
        <f t="shared" si="13"/>
        <v>0</v>
      </c>
      <c r="J18" s="213"/>
      <c r="K18" s="49"/>
      <c r="L18" s="704">
        <f t="shared" si="3"/>
      </c>
      <c r="M18" s="51" t="str">
        <f t="shared" si="4"/>
        <v>　</v>
      </c>
      <c r="N18" s="51" t="str">
        <f t="shared" si="5"/>
        <v>　</v>
      </c>
      <c r="O18" s="39"/>
      <c r="P18" s="99">
        <v>8</v>
      </c>
      <c r="Q18" s="727"/>
      <c r="R18" s="920"/>
      <c r="S18" s="919"/>
      <c r="T18" s="919"/>
      <c r="U18" s="919"/>
      <c r="V18" s="139">
        <f t="shared" si="14"/>
      </c>
      <c r="W18" s="140">
        <f t="shared" si="15"/>
        <v>0</v>
      </c>
      <c r="X18" s="213"/>
      <c r="Y18" s="49"/>
      <c r="Z18" s="704">
        <f t="shared" si="6"/>
      </c>
      <c r="AA18" s="51" t="str">
        <f t="shared" si="7"/>
        <v>　</v>
      </c>
      <c r="AB18" s="51" t="str">
        <f t="shared" si="8"/>
        <v>　</v>
      </c>
      <c r="AC18" s="39"/>
      <c r="AD18" s="99">
        <v>8</v>
      </c>
      <c r="AE18" s="727"/>
      <c r="AF18" s="920"/>
      <c r="AG18" s="919"/>
      <c r="AH18" s="919"/>
      <c r="AI18" s="919"/>
      <c r="AJ18" s="139">
        <f t="shared" si="16"/>
      </c>
      <c r="AK18" s="140">
        <f t="shared" si="18"/>
        <v>0</v>
      </c>
      <c r="AL18" s="142"/>
      <c r="AM18" s="49"/>
      <c r="AN18" s="704">
        <f t="shared" si="9"/>
      </c>
      <c r="AO18" s="51" t="str">
        <f t="shared" si="10"/>
        <v>　</v>
      </c>
      <c r="AP18" s="51" t="str">
        <f t="shared" si="11"/>
        <v>　</v>
      </c>
      <c r="AQ18" s="39"/>
      <c r="AR18" s="99"/>
      <c r="AS18" s="143" t="s">
        <v>53</v>
      </c>
      <c r="AT18" s="144">
        <f>(COUNTIF(E11:E35,"&gt;=24")-COUNTIF(E11:E35,"&gt;=26"))+(COUNTIF(S11:S35,"&gt;=24")-COUNTIF(S11:S35,"&gt;=26"))+(COUNTIF(AG11:AG35,"&gt;=24")-COUNTIF(AG11:AG35,"&gt;=26"))</f>
        <v>0</v>
      </c>
      <c r="AU18" s="144">
        <f>SUMPRODUCT(($E$11:$E$35&gt;=24)*($E$11:$E$35&lt;26)*($C$11:$C$35="×"))+SUMPRODUCT(($S$11:$S$35&gt;=24)*($S$11:$S$35&lt;26)*($Q$11:$Q$35="×"))+SUMPRODUCT(($AG$11:$AG$35&gt;=24)*($AG$11:$AG$35&lt;26)*($AE$11:$AE$35="×"))</f>
        <v>0</v>
      </c>
      <c r="AV18" s="144">
        <f t="shared" si="17"/>
        <v>0</v>
      </c>
      <c r="AW18" s="143"/>
      <c r="AX18" s="145"/>
      <c r="AY18" s="146"/>
      <c r="AZ18" s="705"/>
      <c r="BA18" s="148"/>
      <c r="BB18" s="39"/>
      <c r="BC18" s="794"/>
      <c r="BD18" s="795"/>
      <c r="BE18" s="797"/>
      <c r="BF18" s="194">
        <f>BF16*0.38</f>
        <v>20.9</v>
      </c>
      <c r="BG18" s="173" t="s">
        <v>154</v>
      </c>
      <c r="BH18" s="195" t="e">
        <f>BH16*0.38</f>
        <v>#DIV/0!</v>
      </c>
      <c r="BI18" s="196">
        <f>$AT$49*0.38</f>
        <v>0</v>
      </c>
      <c r="BJ18" s="176">
        <f>(BJ16-BJ19)*0.38+BJ19</f>
        <v>0</v>
      </c>
      <c r="BK18" s="177">
        <f>BK16*0.38</f>
        <v>57</v>
      </c>
      <c r="BL18" s="39"/>
      <c r="BM18" s="169" t="s">
        <v>151</v>
      </c>
      <c r="BN18" s="160">
        <v>90</v>
      </c>
      <c r="BO18" s="170">
        <v>100</v>
      </c>
      <c r="BP18" s="39"/>
      <c r="BQ18" s="39"/>
      <c r="BR18" s="171"/>
      <c r="BS18" s="39"/>
      <c r="BT18" s="39"/>
      <c r="BU18" s="39"/>
      <c r="BV18" s="39"/>
      <c r="BW18" s="39"/>
      <c r="BX18" s="39"/>
      <c r="BY18" s="39"/>
      <c r="BZ18" s="39"/>
      <c r="CA18" s="39"/>
      <c r="CB18" s="39"/>
      <c r="CC18" s="39"/>
      <c r="CD18" s="39"/>
      <c r="CE18" s="39"/>
    </row>
    <row r="19" spans="1:83" ht="18.75" thickBot="1">
      <c r="A19" s="39"/>
      <c r="B19" s="99">
        <v>9</v>
      </c>
      <c r="C19" s="727"/>
      <c r="D19" s="733"/>
      <c r="E19" s="734"/>
      <c r="F19" s="734"/>
      <c r="G19" s="734"/>
      <c r="H19" s="139">
        <f t="shared" si="12"/>
      </c>
      <c r="I19" s="140">
        <f t="shared" si="13"/>
        <v>0</v>
      </c>
      <c r="J19" s="213"/>
      <c r="K19" s="49"/>
      <c r="L19" s="704">
        <f t="shared" si="3"/>
      </c>
      <c r="M19" s="51" t="str">
        <f t="shared" si="4"/>
        <v>　</v>
      </c>
      <c r="N19" s="51" t="str">
        <f t="shared" si="5"/>
        <v>　</v>
      </c>
      <c r="O19" s="39"/>
      <c r="P19" s="99">
        <v>9</v>
      </c>
      <c r="Q19" s="727"/>
      <c r="R19" s="920"/>
      <c r="S19" s="919"/>
      <c r="T19" s="919"/>
      <c r="U19" s="919"/>
      <c r="V19" s="139">
        <f t="shared" si="14"/>
      </c>
      <c r="W19" s="140">
        <f t="shared" si="15"/>
        <v>0</v>
      </c>
      <c r="X19" s="213"/>
      <c r="Y19" s="49"/>
      <c r="Z19" s="704">
        <f t="shared" si="6"/>
      </c>
      <c r="AA19" s="51" t="str">
        <f t="shared" si="7"/>
        <v>　</v>
      </c>
      <c r="AB19" s="51" t="str">
        <f t="shared" si="8"/>
        <v>　</v>
      </c>
      <c r="AC19" s="39"/>
      <c r="AD19" s="99">
        <v>9</v>
      </c>
      <c r="AE19" s="727"/>
      <c r="AF19" s="920"/>
      <c r="AG19" s="919"/>
      <c r="AH19" s="919"/>
      <c r="AI19" s="919"/>
      <c r="AJ19" s="139">
        <f t="shared" si="16"/>
      </c>
      <c r="AK19" s="140">
        <f t="shared" si="18"/>
        <v>0</v>
      </c>
      <c r="AL19" s="142"/>
      <c r="AM19" s="49"/>
      <c r="AN19" s="704">
        <f t="shared" si="9"/>
      </c>
      <c r="AO19" s="51" t="str">
        <f t="shared" si="10"/>
        <v>　</v>
      </c>
      <c r="AP19" s="51" t="str">
        <f t="shared" si="11"/>
        <v>　</v>
      </c>
      <c r="AQ19" s="39"/>
      <c r="AR19" s="99"/>
      <c r="AS19" s="143" t="s">
        <v>54</v>
      </c>
      <c r="AT19" s="144">
        <f>(COUNTIF(E11:E35,"&gt;=26")-COUNTIF(E11:E35,"&gt;=28"))+(COUNTIF(S11:S35,"&gt;=26")-COUNTIF(S11:S35,"&gt;=28"))+(COUNTIF(AG11:AG35,"&gt;=26")-COUNTIF(AG11:AG35,"&gt;=28"))</f>
        <v>0</v>
      </c>
      <c r="AU19" s="144">
        <f>SUMPRODUCT(($E$11:$E$35&gt;=26)*($E$11:$E$35&lt;28)*($C$11:$C$35="×"))+SUMPRODUCT(($S$11:$S$35&gt;=26)*($S$11:$S$35&lt;28)*($Q$11:$Q$35="×"))+SUMPRODUCT(($AG$11:$AG$35&gt;=26)*($AG$11:$AG$35&lt;28)*($AE$11:$AE$35="×"))</f>
        <v>0</v>
      </c>
      <c r="AV19" s="144">
        <f t="shared" si="17"/>
        <v>0</v>
      </c>
      <c r="AW19" s="143"/>
      <c r="AX19" s="145"/>
      <c r="AY19" s="146"/>
      <c r="AZ19" s="705"/>
      <c r="BA19" s="148"/>
      <c r="BB19" s="39"/>
      <c r="BC19" s="179" t="s">
        <v>157</v>
      </c>
      <c r="BD19" s="534">
        <f>BG46</f>
        <v>0</v>
      </c>
      <c r="BE19" s="181" t="s">
        <v>98</v>
      </c>
      <c r="BF19" s="197">
        <v>0</v>
      </c>
      <c r="BG19" s="183">
        <v>0</v>
      </c>
      <c r="BH19" s="198">
        <v>0</v>
      </c>
      <c r="BI19" s="185">
        <v>0</v>
      </c>
      <c r="BJ19" s="186">
        <v>0</v>
      </c>
      <c r="BK19" s="199">
        <v>0</v>
      </c>
      <c r="BL19" s="39"/>
      <c r="BM19" s="169" t="s">
        <v>138</v>
      </c>
      <c r="BN19" s="160">
        <v>95</v>
      </c>
      <c r="BO19" s="170">
        <v>100</v>
      </c>
      <c r="BP19" s="39"/>
      <c r="BQ19" s="39"/>
      <c r="BR19" s="171"/>
      <c r="BS19" s="39"/>
      <c r="BT19" s="39"/>
      <c r="BU19" s="39"/>
      <c r="BV19" s="39"/>
      <c r="BW19" s="39"/>
      <c r="BX19" s="39"/>
      <c r="BY19" s="39"/>
      <c r="BZ19" s="39"/>
      <c r="CA19" s="39"/>
      <c r="CB19" s="39"/>
      <c r="CC19" s="39"/>
      <c r="CD19" s="39"/>
      <c r="CE19" s="39"/>
    </row>
    <row r="20" spans="1:83" ht="18">
      <c r="A20" s="39"/>
      <c r="B20" s="99">
        <v>10</v>
      </c>
      <c r="C20" s="727"/>
      <c r="D20" s="733"/>
      <c r="E20" s="734"/>
      <c r="F20" s="734"/>
      <c r="G20" s="734"/>
      <c r="H20" s="139">
        <f t="shared" si="12"/>
      </c>
      <c r="I20" s="140">
        <f t="shared" si="13"/>
        <v>0</v>
      </c>
      <c r="J20" s="213"/>
      <c r="K20" s="49"/>
      <c r="L20" s="704">
        <f t="shared" si="3"/>
      </c>
      <c r="M20" s="51" t="str">
        <f t="shared" si="4"/>
        <v>　</v>
      </c>
      <c r="N20" s="51" t="str">
        <f t="shared" si="5"/>
        <v>　</v>
      </c>
      <c r="O20" s="39"/>
      <c r="P20" s="99">
        <v>10</v>
      </c>
      <c r="Q20" s="727"/>
      <c r="R20" s="920"/>
      <c r="S20" s="919"/>
      <c r="T20" s="919"/>
      <c r="U20" s="919"/>
      <c r="V20" s="139">
        <f t="shared" si="14"/>
      </c>
      <c r="W20" s="140">
        <f t="shared" si="15"/>
        <v>0</v>
      </c>
      <c r="X20" s="213"/>
      <c r="Y20" s="49"/>
      <c r="Z20" s="704">
        <f t="shared" si="6"/>
      </c>
      <c r="AA20" s="51" t="str">
        <f aca="true" t="shared" si="19" ref="AA20:AA35">IF(AND(Z20="○",T20&gt;0),"○有",IF(AND(Z20="△",T20&gt;0),"△有","　"))</f>
        <v>　</v>
      </c>
      <c r="AB20" s="51" t="str">
        <f aca="true" t="shared" si="20" ref="AB20:AB35">IF(AND(Q20="×",T20&gt;0),"×有",IF(AND(Q20="○",U20&gt;0),"○有","　"))</f>
        <v>　</v>
      </c>
      <c r="AC20" s="39"/>
      <c r="AD20" s="99">
        <v>10</v>
      </c>
      <c r="AE20" s="727"/>
      <c r="AF20" s="920"/>
      <c r="AG20" s="919"/>
      <c r="AH20" s="919"/>
      <c r="AI20" s="919"/>
      <c r="AJ20" s="139">
        <f t="shared" si="16"/>
      </c>
      <c r="AK20" s="140">
        <f t="shared" si="18"/>
        <v>0</v>
      </c>
      <c r="AL20" s="142"/>
      <c r="AM20" s="49"/>
      <c r="AN20" s="704">
        <f t="shared" si="9"/>
      </c>
      <c r="AO20" s="51" t="str">
        <f aca="true" t="shared" si="21" ref="AO20:AO35">IF(AND(AN20="○",AH20&gt;0),"○有",IF(AND(AN20="△",AH20&gt;0),"△有","　"))</f>
        <v>　</v>
      </c>
      <c r="AP20" s="51" t="str">
        <f aca="true" t="shared" si="22" ref="AP20:AP35">IF(AND(AE20="×",AH20&gt;0),"×有",IF(AND(AE20="○",AI20&gt;0),"○有","　"))</f>
        <v>　</v>
      </c>
      <c r="AQ20" s="39"/>
      <c r="AR20" s="99"/>
      <c r="AS20" s="143" t="s">
        <v>55</v>
      </c>
      <c r="AT20" s="144">
        <f>(COUNTIF(E11:E35,"&gt;=28")-COUNTIF(E11:E35,"&gt;=30"))+(COUNTIF(S11:S35,"&gt;=28")-COUNTIF(S11:S35,"&gt;=30"))+(COUNTIF(AG11:AG35,"&gt;=28")-COUNTIF(AG11:AG35,"&gt;=30"))</f>
        <v>0</v>
      </c>
      <c r="AU20" s="144">
        <f>SUMPRODUCT(($E$11:$E$35&gt;=28)*($E$11:$E$35&lt;30)*($C$11:$C$35="×"))+SUMPRODUCT(($S$11:$S$35&gt;=28)*($S$11:$S$35&lt;30)*($Q$11:$Q$35="×"))+SUMPRODUCT(($AG$11:$AG$35&gt;=28)*($AG$11:$AG$35&lt;30)*($AE$11:$AE$35="×"))</f>
        <v>0</v>
      </c>
      <c r="AV20" s="144">
        <f t="shared" si="17"/>
        <v>0</v>
      </c>
      <c r="AW20" s="143"/>
      <c r="AX20" s="145"/>
      <c r="AY20" s="146"/>
      <c r="AZ20" s="705"/>
      <c r="BA20" s="148"/>
      <c r="BB20" s="39"/>
      <c r="BC20" s="188"/>
      <c r="BD20" s="189"/>
      <c r="BE20" s="190" t="s">
        <v>99</v>
      </c>
      <c r="BF20" s="535">
        <f>VLOOKUP(BD23,'条件'!$B$12:$D$20,'条件'!$G$13,TRUE)</f>
        <v>55</v>
      </c>
      <c r="BG20" s="155">
        <v>0.4</v>
      </c>
      <c r="BH20" s="156">
        <f>BF20/((CA70/2)^2*PI())</f>
        <v>14291.46427763958</v>
      </c>
      <c r="BI20" s="157">
        <f>BH47</f>
        <v>1</v>
      </c>
      <c r="BJ20" s="158">
        <f>((BI20/(BK20*4/8))*2)</f>
        <v>0.02666666666666667</v>
      </c>
      <c r="BK20" s="536">
        <f>VLOOKUP(BD23,'条件'!$B$26:$D$35,'条件'!$G$13,TRUE)</f>
        <v>150</v>
      </c>
      <c r="BL20" s="39"/>
      <c r="BM20" s="169" t="s">
        <v>152</v>
      </c>
      <c r="BN20" s="160"/>
      <c r="BO20" s="170">
        <v>100</v>
      </c>
      <c r="BP20" s="39"/>
      <c r="BQ20" s="39"/>
      <c r="BR20" s="171"/>
      <c r="BS20" s="39"/>
      <c r="BT20" s="39"/>
      <c r="BU20" s="39"/>
      <c r="BV20" s="39"/>
      <c r="BW20" s="39"/>
      <c r="BX20" s="39"/>
      <c r="BY20" s="39"/>
      <c r="BZ20" s="39"/>
      <c r="CA20" s="39"/>
      <c r="CB20" s="39"/>
      <c r="CC20" s="39"/>
      <c r="CD20" s="39"/>
      <c r="CE20" s="39"/>
    </row>
    <row r="21" spans="1:83" ht="17.25" customHeight="1">
      <c r="A21" s="39"/>
      <c r="B21" s="99">
        <v>11</v>
      </c>
      <c r="C21" s="727"/>
      <c r="D21" s="733"/>
      <c r="E21" s="734"/>
      <c r="F21" s="734"/>
      <c r="G21" s="734"/>
      <c r="H21" s="139">
        <f t="shared" si="12"/>
      </c>
      <c r="I21" s="140">
        <f t="shared" si="13"/>
        <v>0</v>
      </c>
      <c r="J21" s="213"/>
      <c r="K21" s="49"/>
      <c r="L21" s="704">
        <f t="shared" si="3"/>
      </c>
      <c r="M21" s="51" t="str">
        <f t="shared" si="4"/>
        <v>　</v>
      </c>
      <c r="N21" s="51" t="str">
        <f t="shared" si="5"/>
        <v>　</v>
      </c>
      <c r="O21" s="39"/>
      <c r="P21" s="99">
        <v>11</v>
      </c>
      <c r="Q21" s="727"/>
      <c r="R21" s="920"/>
      <c r="S21" s="919"/>
      <c r="T21" s="919"/>
      <c r="U21" s="919"/>
      <c r="V21" s="139">
        <f t="shared" si="14"/>
      </c>
      <c r="W21" s="140">
        <f t="shared" si="15"/>
        <v>0</v>
      </c>
      <c r="X21" s="213"/>
      <c r="Y21" s="49"/>
      <c r="Z21" s="704">
        <f t="shared" si="6"/>
      </c>
      <c r="AA21" s="51" t="str">
        <f t="shared" si="19"/>
        <v>　</v>
      </c>
      <c r="AB21" s="51" t="str">
        <f t="shared" si="20"/>
        <v>　</v>
      </c>
      <c r="AC21" s="39"/>
      <c r="AD21" s="99">
        <v>11</v>
      </c>
      <c r="AE21" s="727"/>
      <c r="AF21" s="920"/>
      <c r="AG21" s="919"/>
      <c r="AH21" s="919"/>
      <c r="AI21" s="919"/>
      <c r="AJ21" s="139">
        <f t="shared" si="16"/>
      </c>
      <c r="AK21" s="140">
        <f t="shared" si="18"/>
        <v>0</v>
      </c>
      <c r="AL21" s="142"/>
      <c r="AM21" s="49"/>
      <c r="AN21" s="704">
        <f t="shared" si="9"/>
      </c>
      <c r="AO21" s="51" t="str">
        <f t="shared" si="21"/>
        <v>　</v>
      </c>
      <c r="AP21" s="51" t="str">
        <f t="shared" si="22"/>
        <v>　</v>
      </c>
      <c r="AQ21" s="39"/>
      <c r="AR21" s="99"/>
      <c r="AS21" s="143" t="s">
        <v>56</v>
      </c>
      <c r="AT21" s="144">
        <f>(COUNTIF(E11:E35,"&gt;=30")-COUNTIF(E11:E35,"&gt;=32"))+(COUNTIF(S11:S35,"&gt;=30")-COUNTIF(S11:S35,"&gt;=32"))+(COUNTIF(AG11:AG35,"&gt;=30")-COUNTIF(AG11:AG35,"&gt;=32"))</f>
        <v>0</v>
      </c>
      <c r="AU21" s="144">
        <f>SUMPRODUCT(($E$11:$E$35&gt;=30)*($E$11:$E$35&lt;32)*($C$11:$C$35="×"))+SUMPRODUCT(($S$11:$S$35&gt;=30)*($S$11:$S$35&lt;32)*($Q$11:$Q$35="×"))+SUMPRODUCT(($AG$11:$AG$35&gt;=30)*($AG$11:$AG$35&lt;32)*($AE$11:$AE$35="×"))</f>
        <v>0</v>
      </c>
      <c r="AV21" s="144">
        <f t="shared" si="17"/>
        <v>0</v>
      </c>
      <c r="AW21" s="143"/>
      <c r="AX21" s="145"/>
      <c r="AY21" s="146"/>
      <c r="AZ21" s="705"/>
      <c r="BA21" s="148"/>
      <c r="BB21" s="39"/>
      <c r="BC21" s="804" t="str">
        <f>BC47</f>
        <v>１０年先の間伐前</v>
      </c>
      <c r="BD21" s="805"/>
      <c r="BE21" s="796" t="s">
        <v>103</v>
      </c>
      <c r="BF21" s="163">
        <f>BF20*0.62</f>
        <v>34.1</v>
      </c>
      <c r="BG21" s="164" t="s">
        <v>153</v>
      </c>
      <c r="BH21" s="165">
        <f>BH20*0.62</f>
        <v>8860.707852136538</v>
      </c>
      <c r="BI21" s="166">
        <f>$AT$47*0.62</f>
        <v>0</v>
      </c>
      <c r="BJ21" s="167">
        <f>(BJ20-BJ23)*0.62+BJ23</f>
        <v>0.016533333333333334</v>
      </c>
      <c r="BK21" s="168">
        <f>BK20*0.62</f>
        <v>93</v>
      </c>
      <c r="BL21" s="39"/>
      <c r="BM21" s="746" t="s">
        <v>179</v>
      </c>
      <c r="BN21" s="746"/>
      <c r="BO21" s="746"/>
      <c r="BP21" s="746"/>
      <c r="BQ21" s="39"/>
      <c r="BR21" s="200"/>
      <c r="BS21" s="39"/>
      <c r="BT21" s="39"/>
      <c r="BU21" s="39"/>
      <c r="BV21" s="39"/>
      <c r="BW21" s="39"/>
      <c r="BX21" s="39"/>
      <c r="BY21" s="39"/>
      <c r="BZ21" s="39"/>
      <c r="CA21" s="39"/>
      <c r="CB21" s="39"/>
      <c r="CC21" s="39"/>
      <c r="CD21" s="39"/>
      <c r="CE21" s="39"/>
    </row>
    <row r="22" spans="1:83" ht="18">
      <c r="A22" s="39"/>
      <c r="B22" s="99">
        <v>12</v>
      </c>
      <c r="C22" s="727"/>
      <c r="D22" s="733"/>
      <c r="E22" s="734"/>
      <c r="F22" s="734"/>
      <c r="G22" s="734"/>
      <c r="H22" s="139">
        <f t="shared" si="12"/>
      </c>
      <c r="I22" s="140">
        <f t="shared" si="13"/>
        <v>0</v>
      </c>
      <c r="J22" s="213"/>
      <c r="K22" s="49"/>
      <c r="L22" s="704">
        <f t="shared" si="3"/>
      </c>
      <c r="M22" s="51" t="str">
        <f aca="true" t="shared" si="23" ref="M22:M35">IF(AND(L22="○",F22&gt;0),"○有",IF(AND(L22="△",F22&gt;0),"△有","　"))</f>
        <v>　</v>
      </c>
      <c r="N22" s="51" t="str">
        <f aca="true" t="shared" si="24" ref="N22:N35">IF(AND(C22="×",F22&gt;0),"×有",IF(AND(C22="○",G22&gt;0),"○有","　"))</f>
        <v>　</v>
      </c>
      <c r="O22" s="39"/>
      <c r="P22" s="99">
        <v>12</v>
      </c>
      <c r="Q22" s="727"/>
      <c r="R22" s="920"/>
      <c r="S22" s="919"/>
      <c r="T22" s="919"/>
      <c r="U22" s="919"/>
      <c r="V22" s="139">
        <f t="shared" si="14"/>
      </c>
      <c r="W22" s="140">
        <f t="shared" si="15"/>
        <v>0</v>
      </c>
      <c r="X22" s="213"/>
      <c r="Y22" s="49"/>
      <c r="Z22" s="704">
        <f t="shared" si="6"/>
      </c>
      <c r="AA22" s="51" t="str">
        <f t="shared" si="19"/>
        <v>　</v>
      </c>
      <c r="AB22" s="51" t="str">
        <f t="shared" si="20"/>
        <v>　</v>
      </c>
      <c r="AC22" s="39"/>
      <c r="AD22" s="99">
        <v>12</v>
      </c>
      <c r="AE22" s="727"/>
      <c r="AF22" s="920"/>
      <c r="AG22" s="919"/>
      <c r="AH22" s="919"/>
      <c r="AI22" s="919"/>
      <c r="AJ22" s="139">
        <f t="shared" si="16"/>
      </c>
      <c r="AK22" s="140">
        <f t="shared" si="18"/>
        <v>0</v>
      </c>
      <c r="AL22" s="142"/>
      <c r="AM22" s="49"/>
      <c r="AN22" s="704">
        <f t="shared" si="9"/>
      </c>
      <c r="AO22" s="51" t="str">
        <f t="shared" si="21"/>
        <v>　</v>
      </c>
      <c r="AP22" s="51" t="str">
        <f t="shared" si="22"/>
        <v>　</v>
      </c>
      <c r="AQ22" s="39"/>
      <c r="AR22" s="99"/>
      <c r="AS22" s="143" t="s">
        <v>57</v>
      </c>
      <c r="AT22" s="144">
        <f>(COUNTIF(E11:E35,"&gt;=32")-COUNTIF(E11:E35,"&gt;=34"))+(COUNTIF(S11:S35,"&gt;=32")-COUNTIF(S11:S35,"&gt;=34"))+(COUNTIF(AG11:AG35,"&gt;=32")-COUNTIF(AG11:AG35,"&gt;=34"))</f>
        <v>0</v>
      </c>
      <c r="AU22" s="144">
        <f>SUMPRODUCT(($E$11:$E$35&gt;=32)*($E$11:$E$35&lt;34)*($C$11:$C$35="×"))+SUMPRODUCT(($S$11:$S$35&gt;=32)*($S$11:$S$35&lt;34)*($Q$11:$Q$35="×"))+SUMPRODUCT(($AG$11:$AG$35&gt;=32)*($AG$11:$AG$35&lt;34)*($AE$11:$AE$35="×"))</f>
        <v>0</v>
      </c>
      <c r="AV22" s="144">
        <f t="shared" si="17"/>
        <v>0</v>
      </c>
      <c r="AW22" s="143"/>
      <c r="AX22" s="145"/>
      <c r="AY22" s="146"/>
      <c r="AZ22" s="705"/>
      <c r="BA22" s="148"/>
      <c r="BB22" s="39"/>
      <c r="BC22" s="806"/>
      <c r="BD22" s="807"/>
      <c r="BE22" s="797"/>
      <c r="BF22" s="172">
        <f>BF20*0.38</f>
        <v>20.9</v>
      </c>
      <c r="BG22" s="173" t="s">
        <v>154</v>
      </c>
      <c r="BH22" s="174">
        <f>BH20*0.38</f>
        <v>5430.75642550304</v>
      </c>
      <c r="BI22" s="175">
        <f>$AT$47*0.38</f>
        <v>0</v>
      </c>
      <c r="BJ22" s="176">
        <f>(BJ20-BJ23)*0.38+BJ23</f>
        <v>0.010133333333333334</v>
      </c>
      <c r="BK22" s="177">
        <f>BK20*0.38</f>
        <v>57</v>
      </c>
      <c r="BL22" s="39"/>
      <c r="BM22" s="746"/>
      <c r="BN22" s="746"/>
      <c r="BO22" s="746"/>
      <c r="BP22" s="746"/>
      <c r="BQ22" s="39"/>
      <c r="BR22" s="39"/>
      <c r="BS22" s="39"/>
      <c r="BT22" s="39"/>
      <c r="BU22" s="39"/>
      <c r="BV22" s="39"/>
      <c r="BW22" s="39"/>
      <c r="BX22" s="39"/>
      <c r="BY22" s="39"/>
      <c r="BZ22" s="39"/>
      <c r="CA22" s="39"/>
      <c r="CB22" s="39"/>
      <c r="CC22" s="39"/>
      <c r="CD22" s="39"/>
      <c r="CE22" s="39"/>
    </row>
    <row r="23" spans="1:83" ht="18.75" thickBot="1">
      <c r="A23" s="39"/>
      <c r="B23" s="99">
        <v>13</v>
      </c>
      <c r="C23" s="727"/>
      <c r="D23" s="733"/>
      <c r="E23" s="734"/>
      <c r="F23" s="734"/>
      <c r="G23" s="734"/>
      <c r="H23" s="139">
        <f t="shared" si="12"/>
      </c>
      <c r="I23" s="140">
        <f t="shared" si="13"/>
        <v>0</v>
      </c>
      <c r="J23" s="213"/>
      <c r="K23" s="49"/>
      <c r="L23" s="704">
        <f t="shared" si="3"/>
      </c>
      <c r="M23" s="51" t="str">
        <f t="shared" si="23"/>
        <v>　</v>
      </c>
      <c r="N23" s="51" t="str">
        <f t="shared" si="24"/>
        <v>　</v>
      </c>
      <c r="O23" s="39"/>
      <c r="P23" s="99">
        <v>13</v>
      </c>
      <c r="Q23" s="727"/>
      <c r="R23" s="920"/>
      <c r="S23" s="919"/>
      <c r="T23" s="919"/>
      <c r="U23" s="919"/>
      <c r="V23" s="139">
        <f t="shared" si="14"/>
      </c>
      <c r="W23" s="140">
        <f t="shared" si="15"/>
        <v>0</v>
      </c>
      <c r="X23" s="213"/>
      <c r="Y23" s="49"/>
      <c r="Z23" s="704">
        <f t="shared" si="6"/>
      </c>
      <c r="AA23" s="51" t="str">
        <f t="shared" si="19"/>
        <v>　</v>
      </c>
      <c r="AB23" s="51" t="str">
        <f t="shared" si="20"/>
        <v>　</v>
      </c>
      <c r="AC23" s="39"/>
      <c r="AD23" s="99">
        <v>13</v>
      </c>
      <c r="AE23" s="727"/>
      <c r="AF23" s="920"/>
      <c r="AG23" s="919"/>
      <c r="AH23" s="919"/>
      <c r="AI23" s="919"/>
      <c r="AJ23" s="139">
        <f t="shared" si="16"/>
      </c>
      <c r="AK23" s="140">
        <f t="shared" si="18"/>
        <v>0</v>
      </c>
      <c r="AL23" s="142"/>
      <c r="AM23" s="49"/>
      <c r="AN23" s="704">
        <f t="shared" si="9"/>
      </c>
      <c r="AO23" s="51" t="str">
        <f t="shared" si="21"/>
        <v>　</v>
      </c>
      <c r="AP23" s="51" t="str">
        <f t="shared" si="22"/>
        <v>　</v>
      </c>
      <c r="AQ23" s="39"/>
      <c r="AR23" s="99"/>
      <c r="AS23" s="143" t="s">
        <v>58</v>
      </c>
      <c r="AT23" s="144">
        <f>(COUNTIF(E11:E35,"&gt;=34")-COUNTIF(E11:E35,"&gt;=36"))+(COUNTIF(S11:S35,"&gt;=34")-COUNTIF(S11:S35,"&gt;=36"))+(COUNTIF(AG11:AG35,"&gt;=34")-COUNTIF(AG11:AG35,"&gt;=36"))</f>
        <v>0</v>
      </c>
      <c r="AU23" s="144">
        <f>SUMPRODUCT(($E$11:$E$35&gt;=34)*($E$11:$E$35&lt;36)*($C$11:$C$35="×"))+SUMPRODUCT(($S$11:$S$35&gt;=34)*($S$11:$S$35&lt;36)*($Q$11:$Q$35="×"))+SUMPRODUCT(($AG$11:$AG$35&gt;=34)*($AG$11:$AG$35&lt;36)*($AE$11:$AE$35="×"))</f>
        <v>0</v>
      </c>
      <c r="AV23" s="144">
        <f t="shared" si="17"/>
        <v>0</v>
      </c>
      <c r="AW23" s="143"/>
      <c r="AX23" s="145"/>
      <c r="AY23" s="146"/>
      <c r="AZ23" s="705"/>
      <c r="BA23" s="148"/>
      <c r="BB23" s="39"/>
      <c r="BC23" s="179" t="s">
        <v>157</v>
      </c>
      <c r="BD23" s="534">
        <f>BG47</f>
        <v>7</v>
      </c>
      <c r="BE23" s="181" t="s">
        <v>98</v>
      </c>
      <c r="BF23" s="182">
        <v>0</v>
      </c>
      <c r="BG23" s="183">
        <v>0</v>
      </c>
      <c r="BH23" s="184">
        <v>0</v>
      </c>
      <c r="BI23" s="185">
        <v>0</v>
      </c>
      <c r="BJ23" s="186">
        <v>0</v>
      </c>
      <c r="BK23" s="187">
        <v>0</v>
      </c>
      <c r="BL23" s="39"/>
      <c r="BM23" s="130" t="s">
        <v>159</v>
      </c>
      <c r="BN23" s="202"/>
      <c r="BO23" s="202"/>
      <c r="BP23" s="39"/>
      <c r="BQ23" s="39"/>
      <c r="BR23" s="39"/>
      <c r="BS23" s="39"/>
      <c r="BT23" s="39"/>
      <c r="BU23" s="39"/>
      <c r="BV23" s="39"/>
      <c r="BW23" s="39"/>
      <c r="BX23" s="39"/>
      <c r="BY23" s="39"/>
      <c r="BZ23" s="39"/>
      <c r="CA23" s="39"/>
      <c r="CB23" s="39"/>
      <c r="CC23" s="39"/>
      <c r="CD23" s="39"/>
      <c r="CE23" s="39"/>
    </row>
    <row r="24" spans="1:83" ht="18">
      <c r="A24" s="39"/>
      <c r="B24" s="99">
        <v>14</v>
      </c>
      <c r="C24" s="727"/>
      <c r="D24" s="733"/>
      <c r="E24" s="734"/>
      <c r="F24" s="734"/>
      <c r="G24" s="734"/>
      <c r="H24" s="139">
        <f t="shared" si="12"/>
      </c>
      <c r="I24" s="140">
        <f t="shared" si="13"/>
        <v>0</v>
      </c>
      <c r="J24" s="213"/>
      <c r="K24" s="49"/>
      <c r="L24" s="704">
        <f t="shared" si="3"/>
      </c>
      <c r="M24" s="51" t="str">
        <f t="shared" si="23"/>
        <v>　</v>
      </c>
      <c r="N24" s="51" t="str">
        <f t="shared" si="24"/>
        <v>　</v>
      </c>
      <c r="O24" s="39"/>
      <c r="P24" s="99">
        <v>14</v>
      </c>
      <c r="Q24" s="727"/>
      <c r="R24" s="920"/>
      <c r="S24" s="919"/>
      <c r="T24" s="919"/>
      <c r="U24" s="919"/>
      <c r="V24" s="139">
        <f t="shared" si="14"/>
      </c>
      <c r="W24" s="140">
        <f t="shared" si="15"/>
        <v>0</v>
      </c>
      <c r="X24" s="142"/>
      <c r="Y24" s="49"/>
      <c r="Z24" s="704">
        <f t="shared" si="6"/>
      </c>
      <c r="AA24" s="51" t="str">
        <f t="shared" si="19"/>
        <v>　</v>
      </c>
      <c r="AB24" s="51" t="str">
        <f t="shared" si="20"/>
        <v>　</v>
      </c>
      <c r="AC24" s="39"/>
      <c r="AD24" s="99">
        <v>14</v>
      </c>
      <c r="AE24" s="727"/>
      <c r="AF24" s="920"/>
      <c r="AG24" s="919"/>
      <c r="AH24" s="919"/>
      <c r="AI24" s="919"/>
      <c r="AJ24" s="139">
        <f t="shared" si="16"/>
      </c>
      <c r="AK24" s="140">
        <f t="shared" si="18"/>
        <v>0</v>
      </c>
      <c r="AL24" s="142"/>
      <c r="AM24" s="49"/>
      <c r="AN24" s="704">
        <f t="shared" si="9"/>
      </c>
      <c r="AO24" s="51" t="str">
        <f t="shared" si="21"/>
        <v>　</v>
      </c>
      <c r="AP24" s="51" t="str">
        <f t="shared" si="22"/>
        <v>　</v>
      </c>
      <c r="AQ24" s="39"/>
      <c r="AR24" s="99"/>
      <c r="AS24" s="143" t="s">
        <v>59</v>
      </c>
      <c r="AT24" s="144">
        <f>(COUNTIF(E11:E35,"&gt;=36")-COUNTIF(E11:E35,"&gt;=38"))+(COUNTIF(S11:S35,"&gt;=36")-COUNTIF(S11:S35,"&gt;=38"))+(COUNTIF(AG11:AG35,"&gt;=36")-COUNTIF(AG11:AG35,"&gt;=38"))</f>
        <v>0</v>
      </c>
      <c r="AU24" s="144">
        <f>SUMPRODUCT(($E$11:$E$35&gt;=36)*($E$11:$E$35&lt;38)*($C$11:$C$35="×"))+SUMPRODUCT(($S$11:$S$35&gt;=36)*($S$11:$S$35&lt;38)*($Q$11:$Q$35="×"))+SUMPRODUCT(($AG$11:$AG$35&gt;=36)*($AG$11:$AG$35&lt;38)*($AE$11:$AE$35="×"))</f>
        <v>0</v>
      </c>
      <c r="AV24" s="144">
        <f t="shared" si="17"/>
        <v>0</v>
      </c>
      <c r="AW24" s="143"/>
      <c r="AX24" s="145"/>
      <c r="AY24" s="146"/>
      <c r="AZ24" s="705"/>
      <c r="BA24" s="148"/>
      <c r="BB24" s="39"/>
      <c r="BC24" s="188"/>
      <c r="BD24" s="189"/>
      <c r="BE24" s="190" t="s">
        <v>99</v>
      </c>
      <c r="BF24" s="535">
        <f>VLOOKUP(BD27,'条件'!$B$12:$D$20,'条件'!$G$13,TRUE)</f>
        <v>55</v>
      </c>
      <c r="BG24" s="155">
        <v>0.4</v>
      </c>
      <c r="BH24" s="203">
        <f>BF24/((CA71/2)^2*PI())</f>
        <v>14291.46427763958</v>
      </c>
      <c r="BI24" s="204">
        <f>BH48</f>
        <v>1</v>
      </c>
      <c r="BJ24" s="205">
        <f>((BH48/(BK24*4/8))*2)</f>
        <v>0.02666666666666667</v>
      </c>
      <c r="BK24" s="536">
        <f>VLOOKUP(BD27,'条件'!$B$26:$D$35,'条件'!$G$13,TRUE)</f>
        <v>150</v>
      </c>
      <c r="BM24" s="800" t="s">
        <v>149</v>
      </c>
      <c r="BN24" s="745" t="s">
        <v>249</v>
      </c>
      <c r="BO24" s="741"/>
      <c r="BP24" s="39"/>
      <c r="BQ24" s="39"/>
      <c r="BR24" s="138"/>
      <c r="BS24" s="39"/>
      <c r="BT24" s="39"/>
      <c r="BU24" s="39"/>
      <c r="BV24" s="39"/>
      <c r="BW24" s="39"/>
      <c r="BX24" s="39"/>
      <c r="BY24" s="39"/>
      <c r="BZ24" s="39"/>
      <c r="CA24" s="39"/>
      <c r="CB24" s="39"/>
      <c r="CC24" s="39"/>
      <c r="CD24" s="39"/>
      <c r="CE24" s="39"/>
    </row>
    <row r="25" spans="1:83" ht="18">
      <c r="A25" s="39"/>
      <c r="B25" s="99">
        <v>15</v>
      </c>
      <c r="C25" s="727"/>
      <c r="D25" s="733"/>
      <c r="E25" s="734"/>
      <c r="F25" s="734"/>
      <c r="G25" s="734"/>
      <c r="H25" s="139">
        <f t="shared" si="12"/>
      </c>
      <c r="I25" s="140">
        <f t="shared" si="13"/>
        <v>0</v>
      </c>
      <c r="J25" s="213"/>
      <c r="K25" s="49"/>
      <c r="L25" s="704">
        <f t="shared" si="3"/>
      </c>
      <c r="M25" s="51" t="str">
        <f t="shared" si="23"/>
        <v>　</v>
      </c>
      <c r="N25" s="51" t="str">
        <f t="shared" si="24"/>
        <v>　</v>
      </c>
      <c r="O25" s="39"/>
      <c r="P25" s="99">
        <v>15</v>
      </c>
      <c r="Q25" s="727"/>
      <c r="R25" s="920"/>
      <c r="S25" s="919"/>
      <c r="T25" s="919"/>
      <c r="U25" s="919"/>
      <c r="V25" s="139">
        <f t="shared" si="14"/>
      </c>
      <c r="W25" s="140">
        <f t="shared" si="15"/>
        <v>0</v>
      </c>
      <c r="X25" s="142"/>
      <c r="Y25" s="49"/>
      <c r="Z25" s="704">
        <f t="shared" si="6"/>
      </c>
      <c r="AA25" s="51" t="str">
        <f t="shared" si="19"/>
        <v>　</v>
      </c>
      <c r="AB25" s="51" t="str">
        <f t="shared" si="20"/>
        <v>　</v>
      </c>
      <c r="AC25" s="39"/>
      <c r="AD25" s="99">
        <v>15</v>
      </c>
      <c r="AE25" s="727"/>
      <c r="AF25" s="920"/>
      <c r="AG25" s="919"/>
      <c r="AH25" s="919"/>
      <c r="AI25" s="919"/>
      <c r="AJ25" s="139">
        <f t="shared" si="16"/>
      </c>
      <c r="AK25" s="140">
        <f t="shared" si="18"/>
        <v>0</v>
      </c>
      <c r="AL25" s="142"/>
      <c r="AM25" s="49"/>
      <c r="AN25" s="704">
        <f t="shared" si="9"/>
      </c>
      <c r="AO25" s="51" t="str">
        <f t="shared" si="21"/>
        <v>　</v>
      </c>
      <c r="AP25" s="51" t="str">
        <f t="shared" si="22"/>
        <v>　</v>
      </c>
      <c r="AQ25" s="39"/>
      <c r="AR25" s="99"/>
      <c r="AS25" s="143" t="s">
        <v>60</v>
      </c>
      <c r="AT25" s="144">
        <f>(COUNTIF(E11:E35,"&gt;=38")-COUNTIF(E11:E35,"&gt;=40"))+(COUNTIF(S11:S35,"&gt;=38")-COUNTIF(S11:S35,"&gt;=40"))+(COUNTIF(AG11:AG35,"&gt;=38")-COUNTIF(AG11:AG35,"&gt;=40"))</f>
        <v>0</v>
      </c>
      <c r="AU25" s="144">
        <f>SUMPRODUCT(($E$11:$E$35&gt;=38)*($E$11:$E$35&lt;40)*($C$11:$C$35="×"))+SUMPRODUCT(($S$11:$S$35&gt;=38)*($S$11:$S$35&lt;40)*($Q$11:$Q$35="×"))+SUMPRODUCT(($AG$11:$AG$35&gt;=38)*($AG$11:$AG$35&lt;40)*($AE$11:$AE$35="×"))</f>
        <v>0</v>
      </c>
      <c r="AV25" s="144">
        <f t="shared" si="17"/>
        <v>0</v>
      </c>
      <c r="AW25" s="143"/>
      <c r="AX25" s="145"/>
      <c r="AY25" s="146"/>
      <c r="AZ25" s="705"/>
      <c r="BA25" s="148"/>
      <c r="BB25" s="39"/>
      <c r="BC25" s="804" t="str">
        <f>BC48</f>
        <v>１０年先の間伐後</v>
      </c>
      <c r="BD25" s="809"/>
      <c r="BE25" s="796" t="s">
        <v>103</v>
      </c>
      <c r="BF25" s="191">
        <f>BF24*0.62</f>
        <v>34.1</v>
      </c>
      <c r="BG25" s="164" t="s">
        <v>153</v>
      </c>
      <c r="BH25" s="192">
        <f>BH24*0.62</f>
        <v>8860.707852136538</v>
      </c>
      <c r="BI25" s="193">
        <f>$AT$49*0.62</f>
        <v>0</v>
      </c>
      <c r="BJ25" s="206">
        <f>(BJ24-BJ27)*0.62+BJ27</f>
        <v>0.016533333333333334</v>
      </c>
      <c r="BK25" s="168">
        <f>BK24*0.62</f>
        <v>93</v>
      </c>
      <c r="BL25" s="39"/>
      <c r="BM25" s="801"/>
      <c r="BN25" s="745" t="s">
        <v>247</v>
      </c>
      <c r="BO25" s="741"/>
      <c r="BP25" s="39"/>
      <c r="BQ25" s="39"/>
      <c r="BR25" s="138"/>
      <c r="BS25" s="39"/>
      <c r="BT25" s="39"/>
      <c r="BU25" s="39"/>
      <c r="BV25" s="39"/>
      <c r="BW25" s="39"/>
      <c r="BX25" s="39"/>
      <c r="BY25" s="39"/>
      <c r="BZ25" s="39"/>
      <c r="CA25" s="39"/>
      <c r="CB25" s="39"/>
      <c r="CC25" s="39"/>
      <c r="CD25" s="39"/>
      <c r="CE25" s="39"/>
    </row>
    <row r="26" spans="1:83" ht="18">
      <c r="A26" s="39"/>
      <c r="B26" s="99">
        <v>16</v>
      </c>
      <c r="C26" s="727"/>
      <c r="D26" s="733"/>
      <c r="E26" s="734"/>
      <c r="F26" s="734"/>
      <c r="G26" s="734"/>
      <c r="H26" s="139">
        <f t="shared" si="12"/>
      </c>
      <c r="I26" s="140">
        <f t="shared" si="13"/>
        <v>0</v>
      </c>
      <c r="J26" s="213"/>
      <c r="K26" s="49"/>
      <c r="L26" s="704">
        <f t="shared" si="3"/>
      </c>
      <c r="M26" s="51" t="str">
        <f t="shared" si="23"/>
        <v>　</v>
      </c>
      <c r="N26" s="51" t="str">
        <f t="shared" si="24"/>
        <v>　</v>
      </c>
      <c r="O26" s="39"/>
      <c r="P26" s="99">
        <v>16</v>
      </c>
      <c r="Q26" s="727"/>
      <c r="R26" s="920"/>
      <c r="S26" s="919"/>
      <c r="T26" s="919"/>
      <c r="U26" s="919"/>
      <c r="V26" s="139">
        <f t="shared" si="14"/>
      </c>
      <c r="W26" s="140">
        <f t="shared" si="15"/>
        <v>0</v>
      </c>
      <c r="X26" s="142"/>
      <c r="Y26" s="49"/>
      <c r="Z26" s="704">
        <f t="shared" si="6"/>
      </c>
      <c r="AA26" s="51" t="str">
        <f t="shared" si="19"/>
        <v>　</v>
      </c>
      <c r="AB26" s="51" t="str">
        <f t="shared" si="20"/>
        <v>　</v>
      </c>
      <c r="AC26" s="39"/>
      <c r="AD26" s="99">
        <v>16</v>
      </c>
      <c r="AE26" s="727"/>
      <c r="AF26" s="920"/>
      <c r="AG26" s="919"/>
      <c r="AH26" s="919"/>
      <c r="AI26" s="919"/>
      <c r="AJ26" s="139">
        <f t="shared" si="16"/>
      </c>
      <c r="AK26" s="140">
        <f t="shared" si="18"/>
        <v>0</v>
      </c>
      <c r="AL26" s="142"/>
      <c r="AM26" s="49"/>
      <c r="AN26" s="704">
        <f t="shared" si="9"/>
      </c>
      <c r="AO26" s="51" t="str">
        <f t="shared" si="21"/>
        <v>　</v>
      </c>
      <c r="AP26" s="51" t="str">
        <f t="shared" si="22"/>
        <v>　</v>
      </c>
      <c r="AQ26" s="39"/>
      <c r="AR26" s="99"/>
      <c r="AS26" s="143" t="s">
        <v>61</v>
      </c>
      <c r="AT26" s="144">
        <f>(COUNTIF(E11:E35,"&gt;=40")-COUNTIF(E11:E35,"&gt;=42"))+(COUNTIF(S11:S35,"&gt;=40")-COUNTIF(S11:S35,"&gt;=42"))+(COUNTIF(AG11:AG35,"&gt;=40")-COUNTIF(AG11:AG35,"&gt;=42"))</f>
        <v>0</v>
      </c>
      <c r="AU26" s="144">
        <f>SUMPRODUCT(($E$11:$E$35&gt;=40)*($E$11:$E$35&lt;42)*($C$11:$C$35="×"))+SUMPRODUCT(($S$11:$S$35&gt;=40)*($S$11:$S$35&lt;42)*($Q$11:$Q$35="×"))+SUMPRODUCT(($AG$11:$AG$35&gt;=40)*($AG$11:$AG$35&lt;42)*($AE$11:$AE$35="×"))</f>
        <v>0</v>
      </c>
      <c r="AV26" s="144">
        <f t="shared" si="17"/>
        <v>0</v>
      </c>
      <c r="AW26" s="143"/>
      <c r="AX26" s="145"/>
      <c r="AY26" s="146"/>
      <c r="AZ26" s="705"/>
      <c r="BA26" s="148"/>
      <c r="BB26" s="39"/>
      <c r="BC26" s="810"/>
      <c r="BD26" s="811"/>
      <c r="BE26" s="797"/>
      <c r="BF26" s="194">
        <f>BF24*0.38</f>
        <v>20.9</v>
      </c>
      <c r="BG26" s="173" t="s">
        <v>154</v>
      </c>
      <c r="BH26" s="195">
        <f>BH24*0.38</f>
        <v>5430.75642550304</v>
      </c>
      <c r="BI26" s="196">
        <f>$AT$49*0.38</f>
        <v>0</v>
      </c>
      <c r="BJ26" s="207">
        <f>(BJ24-BJ27)*0.38+BJ27</f>
        <v>0.010133333333333334</v>
      </c>
      <c r="BK26" s="177">
        <f>BK24*0.38</f>
        <v>57</v>
      </c>
      <c r="BL26" s="39"/>
      <c r="BM26" s="159" t="s">
        <v>150</v>
      </c>
      <c r="BN26" s="208">
        <v>150</v>
      </c>
      <c r="BO26" s="209">
        <v>130</v>
      </c>
      <c r="BP26" s="39"/>
      <c r="BQ26" s="39"/>
      <c r="BR26" s="211"/>
      <c r="BS26" s="39"/>
      <c r="BT26" s="39"/>
      <c r="BU26" s="39"/>
      <c r="BV26" s="39"/>
      <c r="BW26" s="39"/>
      <c r="BX26" s="39"/>
      <c r="BY26" s="39"/>
      <c r="BZ26" s="39"/>
      <c r="CA26" s="39"/>
      <c r="CB26" s="39"/>
      <c r="CC26" s="39"/>
      <c r="CD26" s="39"/>
      <c r="CE26" s="39"/>
    </row>
    <row r="27" spans="1:83" ht="18.75" thickBot="1">
      <c r="A27" s="39"/>
      <c r="B27" s="99">
        <v>17</v>
      </c>
      <c r="C27" s="727"/>
      <c r="D27" s="733"/>
      <c r="E27" s="734"/>
      <c r="F27" s="734"/>
      <c r="G27" s="734"/>
      <c r="H27" s="139">
        <f t="shared" si="12"/>
      </c>
      <c r="I27" s="140">
        <f t="shared" si="13"/>
        <v>0</v>
      </c>
      <c r="J27" s="142"/>
      <c r="K27" s="49"/>
      <c r="L27" s="704">
        <f t="shared" si="3"/>
      </c>
      <c r="M27" s="51" t="str">
        <f t="shared" si="23"/>
        <v>　</v>
      </c>
      <c r="N27" s="51" t="str">
        <f t="shared" si="24"/>
        <v>　</v>
      </c>
      <c r="O27" s="39"/>
      <c r="P27" s="99">
        <v>17</v>
      </c>
      <c r="Q27" s="727"/>
      <c r="R27" s="920"/>
      <c r="S27" s="919"/>
      <c r="T27" s="919"/>
      <c r="U27" s="919"/>
      <c r="V27" s="139">
        <f t="shared" si="14"/>
      </c>
      <c r="W27" s="140">
        <f t="shared" si="15"/>
        <v>0</v>
      </c>
      <c r="X27" s="142"/>
      <c r="Y27" s="49"/>
      <c r="Z27" s="704">
        <f t="shared" si="6"/>
      </c>
      <c r="AA27" s="51" t="str">
        <f t="shared" si="19"/>
        <v>　</v>
      </c>
      <c r="AB27" s="51" t="str">
        <f t="shared" si="20"/>
        <v>　</v>
      </c>
      <c r="AC27" s="39"/>
      <c r="AD27" s="99">
        <v>17</v>
      </c>
      <c r="AE27" s="727"/>
      <c r="AF27" s="920"/>
      <c r="AG27" s="919"/>
      <c r="AH27" s="919"/>
      <c r="AI27" s="919"/>
      <c r="AJ27" s="139">
        <f t="shared" si="16"/>
      </c>
      <c r="AK27" s="140">
        <f t="shared" si="18"/>
        <v>0</v>
      </c>
      <c r="AL27" s="142"/>
      <c r="AM27" s="49"/>
      <c r="AN27" s="704">
        <f t="shared" si="9"/>
      </c>
      <c r="AO27" s="51" t="str">
        <f t="shared" si="21"/>
        <v>　</v>
      </c>
      <c r="AP27" s="51" t="str">
        <f t="shared" si="22"/>
        <v>　</v>
      </c>
      <c r="AQ27" s="39"/>
      <c r="AR27" s="99"/>
      <c r="AS27" s="143" t="s">
        <v>62</v>
      </c>
      <c r="AT27" s="144">
        <f>(COUNTIF(E11:E35,"&gt;=42")-COUNTIF(E11:E35,"&gt;=44"))+(COUNTIF(S11:S35,"&gt;=42")-COUNTIF(S11:S35,"&gt;=44"))+(COUNTIF(AG11:AG35,"&gt;=42")-COUNTIF(AG11:AG35,"&gt;=44"))</f>
        <v>0</v>
      </c>
      <c r="AU27" s="144">
        <f>SUMPRODUCT(($E$11:$E$35&gt;=42)*($E$11:$E$35&lt;44)*($C$11:$C$35="×"))+SUMPRODUCT(($S$11:$S$35&gt;=42)*($S$11:$S$35&lt;44)*($Q$11:$Q$35="×"))+SUMPRODUCT(($AG$11:$AG$35&gt;=42)*($AG$11:$AG$35&lt;44)*($AE$11:$AE$35="×"))</f>
        <v>0</v>
      </c>
      <c r="AV27" s="144">
        <f t="shared" si="17"/>
        <v>0</v>
      </c>
      <c r="AW27" s="143"/>
      <c r="AX27" s="145"/>
      <c r="AY27" s="146"/>
      <c r="AZ27" s="705"/>
      <c r="BA27" s="148"/>
      <c r="BB27" s="39"/>
      <c r="BC27" s="179" t="s">
        <v>157</v>
      </c>
      <c r="BD27" s="534">
        <f>BG48</f>
        <v>7</v>
      </c>
      <c r="BE27" s="181" t="s">
        <v>98</v>
      </c>
      <c r="BF27" s="197">
        <v>0</v>
      </c>
      <c r="BG27" s="183">
        <v>0</v>
      </c>
      <c r="BH27" s="198">
        <v>0</v>
      </c>
      <c r="BI27" s="185">
        <v>0</v>
      </c>
      <c r="BJ27" s="186">
        <v>0</v>
      </c>
      <c r="BK27" s="199">
        <v>0</v>
      </c>
      <c r="BL27" s="39"/>
      <c r="BM27" s="169" t="s">
        <v>109</v>
      </c>
      <c r="BN27" s="208">
        <v>140</v>
      </c>
      <c r="BO27" s="210">
        <v>120</v>
      </c>
      <c r="BP27" s="39"/>
      <c r="BQ27" s="39"/>
      <c r="BR27" s="211"/>
      <c r="BS27" s="39"/>
      <c r="BT27" s="39"/>
      <c r="BU27" s="39"/>
      <c r="BV27" s="39"/>
      <c r="BW27" s="39"/>
      <c r="BX27" s="39"/>
      <c r="BY27" s="39"/>
      <c r="BZ27" s="39"/>
      <c r="CA27" s="39"/>
      <c r="CB27" s="39"/>
      <c r="CC27" s="39"/>
      <c r="CD27" s="39"/>
      <c r="CE27" s="39"/>
    </row>
    <row r="28" spans="1:83" ht="18">
      <c r="A28" s="39"/>
      <c r="B28" s="99">
        <v>18</v>
      </c>
      <c r="C28" s="727"/>
      <c r="D28" s="733"/>
      <c r="E28" s="734"/>
      <c r="F28" s="734"/>
      <c r="G28" s="734"/>
      <c r="H28" s="139">
        <f t="shared" si="12"/>
      </c>
      <c r="I28" s="140">
        <f t="shared" si="13"/>
        <v>0</v>
      </c>
      <c r="J28" s="142"/>
      <c r="K28" s="49"/>
      <c r="L28" s="704">
        <f t="shared" si="3"/>
      </c>
      <c r="M28" s="51" t="str">
        <f t="shared" si="23"/>
        <v>　</v>
      </c>
      <c r="N28" s="51" t="str">
        <f t="shared" si="24"/>
        <v>　</v>
      </c>
      <c r="O28" s="39"/>
      <c r="P28" s="99">
        <v>18</v>
      </c>
      <c r="Q28" s="727"/>
      <c r="R28" s="920"/>
      <c r="S28" s="919"/>
      <c r="T28" s="919"/>
      <c r="U28" s="919"/>
      <c r="V28" s="139">
        <f t="shared" si="14"/>
      </c>
      <c r="W28" s="140">
        <f t="shared" si="15"/>
        <v>0</v>
      </c>
      <c r="X28" s="142"/>
      <c r="Y28" s="49"/>
      <c r="Z28" s="704">
        <f t="shared" si="6"/>
      </c>
      <c r="AA28" s="51" t="str">
        <f t="shared" si="19"/>
        <v>　</v>
      </c>
      <c r="AB28" s="51" t="str">
        <f t="shared" si="20"/>
        <v>　</v>
      </c>
      <c r="AC28" s="39"/>
      <c r="AD28" s="99">
        <v>18</v>
      </c>
      <c r="AE28" s="727"/>
      <c r="AF28" s="920"/>
      <c r="AG28" s="919"/>
      <c r="AH28" s="919"/>
      <c r="AI28" s="919"/>
      <c r="AJ28" s="139">
        <f t="shared" si="16"/>
      </c>
      <c r="AK28" s="140">
        <f t="shared" si="18"/>
        <v>0</v>
      </c>
      <c r="AL28" s="142"/>
      <c r="AM28" s="49"/>
      <c r="AN28" s="704">
        <f t="shared" si="9"/>
      </c>
      <c r="AO28" s="51" t="str">
        <f t="shared" si="21"/>
        <v>　</v>
      </c>
      <c r="AP28" s="51" t="str">
        <f t="shared" si="22"/>
        <v>　</v>
      </c>
      <c r="AQ28" s="39"/>
      <c r="AR28" s="99"/>
      <c r="AS28" s="143" t="s">
        <v>63</v>
      </c>
      <c r="AT28" s="144">
        <f>(COUNTIF(E11:E35,"&gt;=44")-COUNTIF(E11:E35,"&gt;=46"))+(COUNTIF(S11:S35,"&gt;=44")-COUNTIF(S11:S35,"&gt;=46"))+(COUNTIF(AG11:AG35,"&gt;=44")-COUNTIF(AG11:AG35,"&gt;=46"))</f>
        <v>0</v>
      </c>
      <c r="AU28" s="144">
        <f>SUMPRODUCT(($E$11:$E$35&gt;=44)*($E$11:$E$35&lt;46)*($C$11:$C$35="×"))+SUMPRODUCT(($S$11:$S$35&gt;=44)*($S$11:$S$35&lt;46)*($Q$11:$Q$35="×"))+SUMPRODUCT(($AG$11:$AG$35&gt;=44)*($AG$11:$AG$35&lt;46)*($AE$11:$AE$35="×"))</f>
        <v>0</v>
      </c>
      <c r="AV28" s="144">
        <f t="shared" si="17"/>
        <v>0</v>
      </c>
      <c r="AW28" s="143"/>
      <c r="AX28" s="145"/>
      <c r="AY28" s="146"/>
      <c r="AZ28" s="705"/>
      <c r="BA28" s="148"/>
      <c r="BB28" s="39"/>
      <c r="BC28" s="39"/>
      <c r="BD28" s="39"/>
      <c r="BE28" s="39"/>
      <c r="BF28" s="39"/>
      <c r="BG28" s="39"/>
      <c r="BH28" s="39"/>
      <c r="BI28" s="39"/>
      <c r="BJ28" s="39"/>
      <c r="BK28" s="39"/>
      <c r="BL28" s="39"/>
      <c r="BM28" s="169" t="s">
        <v>110</v>
      </c>
      <c r="BN28" s="208">
        <v>130</v>
      </c>
      <c r="BO28" s="210">
        <v>110</v>
      </c>
      <c r="BP28" s="39"/>
      <c r="BQ28" s="39"/>
      <c r="BR28" s="211"/>
      <c r="BS28" s="39"/>
      <c r="BT28" s="39"/>
      <c r="BU28" s="39"/>
      <c r="BV28" s="39"/>
      <c r="BW28" s="39"/>
      <c r="BX28" s="39"/>
      <c r="BY28" s="39"/>
      <c r="BZ28" s="39"/>
      <c r="CA28" s="39"/>
      <c r="CB28" s="39"/>
      <c r="CC28" s="39"/>
      <c r="CD28" s="39"/>
      <c r="CE28" s="39"/>
    </row>
    <row r="29" spans="1:83" ht="18">
      <c r="A29" s="39"/>
      <c r="B29" s="99">
        <v>19</v>
      </c>
      <c r="C29" s="727"/>
      <c r="D29" s="733"/>
      <c r="E29" s="734"/>
      <c r="F29" s="734"/>
      <c r="G29" s="734"/>
      <c r="H29" s="139">
        <f t="shared" si="12"/>
      </c>
      <c r="I29" s="140">
        <f t="shared" si="13"/>
        <v>0</v>
      </c>
      <c r="J29" s="142"/>
      <c r="K29" s="49"/>
      <c r="L29" s="704">
        <f t="shared" si="3"/>
      </c>
      <c r="M29" s="51" t="str">
        <f t="shared" si="23"/>
        <v>　</v>
      </c>
      <c r="N29" s="51" t="str">
        <f t="shared" si="24"/>
        <v>　</v>
      </c>
      <c r="O29" s="39"/>
      <c r="P29" s="99">
        <v>19</v>
      </c>
      <c r="Q29" s="727"/>
      <c r="R29" s="920"/>
      <c r="S29" s="919"/>
      <c r="T29" s="919"/>
      <c r="U29" s="919"/>
      <c r="V29" s="139">
        <f t="shared" si="14"/>
      </c>
      <c r="W29" s="140">
        <f t="shared" si="15"/>
        <v>0</v>
      </c>
      <c r="X29" s="142"/>
      <c r="Y29" s="49"/>
      <c r="Z29" s="704">
        <f t="shared" si="6"/>
      </c>
      <c r="AA29" s="51" t="str">
        <f t="shared" si="19"/>
        <v>　</v>
      </c>
      <c r="AB29" s="51" t="str">
        <f t="shared" si="20"/>
        <v>　</v>
      </c>
      <c r="AC29" s="39"/>
      <c r="AD29" s="99">
        <v>19</v>
      </c>
      <c r="AE29" s="727"/>
      <c r="AF29" s="920"/>
      <c r="AG29" s="919"/>
      <c r="AH29" s="919"/>
      <c r="AI29" s="919"/>
      <c r="AJ29" s="139">
        <f t="shared" si="16"/>
      </c>
      <c r="AK29" s="140">
        <f t="shared" si="18"/>
        <v>0</v>
      </c>
      <c r="AL29" s="142"/>
      <c r="AM29" s="49"/>
      <c r="AN29" s="704">
        <f t="shared" si="9"/>
      </c>
      <c r="AO29" s="51" t="str">
        <f t="shared" si="21"/>
        <v>　</v>
      </c>
      <c r="AP29" s="51" t="str">
        <f t="shared" si="22"/>
        <v>　</v>
      </c>
      <c r="AQ29" s="39"/>
      <c r="AR29" s="99"/>
      <c r="AS29" s="143" t="s">
        <v>64</v>
      </c>
      <c r="AT29" s="144">
        <f>(COUNTIF(E11:E35,"&gt;=46")-COUNTIF(E11:E35,"&gt;=48"))+(COUNTIF(S11:S35,"&gt;=46")-COUNTIF(S11:S35,"&gt;=48"))+(COUNTIF(AG11:AG35,"&gt;=46")-COUNTIF(AG11:AG35,"&gt;=48"))</f>
        <v>0</v>
      </c>
      <c r="AU29" s="144">
        <f>SUMPRODUCT(($E$11:$E$35&gt;=46)*($E$11:$E$35&lt;48)*($C$11:$C$35="×"))+SUMPRODUCT(($S$11:$S$35&gt;=46)*($S$11:$S$35&lt;48)*($Q$11:$Q$35="×"))+SUMPRODUCT(($AG$11:$AG$35&gt;=46)*($AG$11:$AG$35&lt;48)*($AE$11:$AE$35="×"))</f>
        <v>0</v>
      </c>
      <c r="AV29" s="144">
        <f t="shared" si="17"/>
        <v>0</v>
      </c>
      <c r="AW29" s="143"/>
      <c r="AX29" s="145"/>
      <c r="AY29" s="146"/>
      <c r="AZ29" s="705"/>
      <c r="BA29" s="148"/>
      <c r="BB29" s="39"/>
      <c r="BC29" s="39"/>
      <c r="BD29" s="39"/>
      <c r="BE29" s="39"/>
      <c r="BF29" s="39"/>
      <c r="BG29" s="39"/>
      <c r="BH29" s="39"/>
      <c r="BI29" s="39"/>
      <c r="BJ29" s="39"/>
      <c r="BK29" s="39"/>
      <c r="BL29" s="39"/>
      <c r="BM29" s="169" t="s">
        <v>111</v>
      </c>
      <c r="BN29" s="208">
        <v>120</v>
      </c>
      <c r="BO29" s="210">
        <v>100</v>
      </c>
      <c r="BP29" s="39"/>
      <c r="BQ29" s="39"/>
      <c r="BR29" s="211"/>
      <c r="BS29" s="39"/>
      <c r="BT29" s="39"/>
      <c r="BU29" s="39"/>
      <c r="BV29" s="39"/>
      <c r="BW29" s="39"/>
      <c r="BX29" s="39"/>
      <c r="BY29" s="39"/>
      <c r="BZ29" s="39"/>
      <c r="CA29" s="39"/>
      <c r="CB29" s="39"/>
      <c r="CC29" s="39"/>
      <c r="CD29" s="39"/>
      <c r="CE29" s="39"/>
    </row>
    <row r="30" spans="1:83" ht="18">
      <c r="A30" s="39"/>
      <c r="B30" s="99">
        <v>20</v>
      </c>
      <c r="C30" s="727"/>
      <c r="D30" s="733"/>
      <c r="E30" s="734"/>
      <c r="F30" s="734"/>
      <c r="G30" s="734"/>
      <c r="H30" s="139">
        <f t="shared" si="12"/>
      </c>
      <c r="I30" s="140">
        <f t="shared" si="13"/>
        <v>0</v>
      </c>
      <c r="J30" s="142"/>
      <c r="K30" s="49"/>
      <c r="L30" s="704">
        <f t="shared" si="3"/>
      </c>
      <c r="M30" s="51" t="str">
        <f t="shared" si="23"/>
        <v>　</v>
      </c>
      <c r="N30" s="51" t="str">
        <f t="shared" si="24"/>
        <v>　</v>
      </c>
      <c r="O30" s="39"/>
      <c r="P30" s="99">
        <v>20</v>
      </c>
      <c r="Q30" s="727"/>
      <c r="R30" s="920"/>
      <c r="S30" s="919"/>
      <c r="T30" s="919"/>
      <c r="U30" s="919"/>
      <c r="V30" s="139">
        <f t="shared" si="14"/>
      </c>
      <c r="W30" s="140">
        <f t="shared" si="15"/>
        <v>0</v>
      </c>
      <c r="X30" s="142"/>
      <c r="Y30" s="49"/>
      <c r="Z30" s="704">
        <f t="shared" si="6"/>
      </c>
      <c r="AA30" s="51" t="str">
        <f t="shared" si="19"/>
        <v>　</v>
      </c>
      <c r="AB30" s="51" t="str">
        <f t="shared" si="20"/>
        <v>　</v>
      </c>
      <c r="AC30" s="39"/>
      <c r="AD30" s="99">
        <v>20</v>
      </c>
      <c r="AE30" s="727"/>
      <c r="AF30" s="920"/>
      <c r="AG30" s="919"/>
      <c r="AH30" s="919"/>
      <c r="AI30" s="919"/>
      <c r="AJ30" s="139">
        <f t="shared" si="16"/>
      </c>
      <c r="AK30" s="140">
        <f t="shared" si="18"/>
        <v>0</v>
      </c>
      <c r="AL30" s="142"/>
      <c r="AM30" s="49"/>
      <c r="AN30" s="704">
        <f t="shared" si="9"/>
      </c>
      <c r="AO30" s="51" t="str">
        <f t="shared" si="21"/>
        <v>　</v>
      </c>
      <c r="AP30" s="51" t="str">
        <f t="shared" si="22"/>
        <v>　</v>
      </c>
      <c r="AQ30" s="39"/>
      <c r="AR30" s="99"/>
      <c r="AS30" s="143" t="s">
        <v>65</v>
      </c>
      <c r="AT30" s="144">
        <f>(COUNTIF(E11:E35,"&gt;=48")-COUNTIF(E11:E35,"&gt;=50"))+(COUNTIF(S11:S35,"&gt;=48")-COUNTIF(S11:S35,"&gt;=50"))+(COUNTIF(AG11:AG35,"&gt;=48")-COUNTIF(AG11:AG35,"&gt;=50"))</f>
        <v>0</v>
      </c>
      <c r="AU30" s="144">
        <f>SUMPRODUCT(($E$11:$E$35&gt;=48)*($E$11:$E$35&lt;50)*($C$11:$C$35="×"))+SUMPRODUCT(($S$11:$S$35&gt;=48)*($S$11:$S$35&lt;50)*($Q$11:$Q$35="×"))+SUMPRODUCT(($AG$11:$AG$35&gt;=48)*($AG$11:$AG$35&lt;50)*($AE$11:$AE$35="×"))</f>
        <v>0</v>
      </c>
      <c r="AV30" s="144">
        <f t="shared" si="17"/>
        <v>0</v>
      </c>
      <c r="AW30" s="143"/>
      <c r="AX30" s="145"/>
      <c r="AY30" s="146"/>
      <c r="AZ30" s="213"/>
      <c r="BA30" s="148"/>
      <c r="BB30" s="39"/>
      <c r="BC30" s="39"/>
      <c r="BD30" s="39"/>
      <c r="BE30" s="39"/>
      <c r="BF30" s="39"/>
      <c r="BG30" s="39"/>
      <c r="BH30" s="39"/>
      <c r="BI30" s="39"/>
      <c r="BJ30" s="39"/>
      <c r="BK30" s="39"/>
      <c r="BL30" s="39"/>
      <c r="BM30" s="169" t="s">
        <v>112</v>
      </c>
      <c r="BN30" s="208">
        <v>110</v>
      </c>
      <c r="BO30" s="210">
        <v>90</v>
      </c>
      <c r="BP30" s="39"/>
      <c r="BQ30" s="39"/>
      <c r="BR30" s="211"/>
      <c r="BS30" s="39"/>
      <c r="BT30" s="39"/>
      <c r="BU30" s="39"/>
      <c r="BV30" s="39"/>
      <c r="BW30" s="39"/>
      <c r="BX30" s="39"/>
      <c r="BY30" s="39"/>
      <c r="BZ30" s="39"/>
      <c r="CA30" s="39"/>
      <c r="CB30" s="39"/>
      <c r="CC30" s="39"/>
      <c r="CD30" s="39"/>
      <c r="CE30" s="39"/>
    </row>
    <row r="31" spans="1:83" ht="18">
      <c r="A31" s="39"/>
      <c r="B31" s="99">
        <v>21</v>
      </c>
      <c r="C31" s="727"/>
      <c r="D31" s="733"/>
      <c r="E31" s="734"/>
      <c r="F31" s="734"/>
      <c r="G31" s="734"/>
      <c r="H31" s="139">
        <f t="shared" si="12"/>
      </c>
      <c r="I31" s="140">
        <f t="shared" si="13"/>
        <v>0</v>
      </c>
      <c r="J31" s="142"/>
      <c r="K31" s="49"/>
      <c r="L31" s="704">
        <f t="shared" si="3"/>
      </c>
      <c r="M31" s="51" t="str">
        <f t="shared" si="23"/>
        <v>　</v>
      </c>
      <c r="N31" s="51" t="str">
        <f t="shared" si="24"/>
        <v>　</v>
      </c>
      <c r="O31" s="39"/>
      <c r="P31" s="99">
        <v>21</v>
      </c>
      <c r="Q31" s="727"/>
      <c r="R31" s="920"/>
      <c r="S31" s="919"/>
      <c r="T31" s="919"/>
      <c r="U31" s="919"/>
      <c r="V31" s="139">
        <f t="shared" si="14"/>
      </c>
      <c r="W31" s="140">
        <f t="shared" si="15"/>
        <v>0</v>
      </c>
      <c r="X31" s="142"/>
      <c r="Y31" s="49"/>
      <c r="Z31" s="704">
        <f t="shared" si="6"/>
      </c>
      <c r="AA31" s="51" t="str">
        <f t="shared" si="19"/>
        <v>　</v>
      </c>
      <c r="AB31" s="51" t="str">
        <f t="shared" si="20"/>
        <v>　</v>
      </c>
      <c r="AC31" s="39"/>
      <c r="AD31" s="99">
        <v>21</v>
      </c>
      <c r="AE31" s="727"/>
      <c r="AF31" s="920"/>
      <c r="AG31" s="919"/>
      <c r="AH31" s="919"/>
      <c r="AI31" s="919"/>
      <c r="AJ31" s="139">
        <f t="shared" si="16"/>
      </c>
      <c r="AK31" s="140">
        <f t="shared" si="18"/>
        <v>0</v>
      </c>
      <c r="AL31" s="142"/>
      <c r="AM31" s="49"/>
      <c r="AN31" s="704">
        <f t="shared" si="9"/>
      </c>
      <c r="AO31" s="51" t="str">
        <f t="shared" si="21"/>
        <v>　</v>
      </c>
      <c r="AP31" s="51" t="str">
        <f t="shared" si="22"/>
        <v>　</v>
      </c>
      <c r="AQ31" s="39"/>
      <c r="AR31" s="99"/>
      <c r="AS31" s="143" t="s">
        <v>66</v>
      </c>
      <c r="AT31" s="144">
        <f>(COUNTIF(E11:E35,"&gt;=50")-COUNTIF(E11:E35,"&gt;=52"))+(COUNTIF(S11:S35,"&gt;=50")-COUNTIF(S11:S35,"&gt;=52"))+(COUNTIF(AG11:AG35,"&gt;=50")-COUNTIF(AG11:AG35,"&gt;=52"))</f>
        <v>0</v>
      </c>
      <c r="AU31" s="144">
        <f>SUMPRODUCT(($E$11:$E$35&gt;=50)*($E$11:$E$35&lt;52)*($C$11:$C$35="×"))+SUMPRODUCT(($S$11:$S$35&gt;=50)*($S$11:$S$35&lt;52)*($Q$11:$Q$35="×"))+SUMPRODUCT(($AG$11:$AG$35&gt;=50)*($AG$11:$AG$35&lt;52)*($AE$11:$AE$35="×"))</f>
        <v>0</v>
      </c>
      <c r="AV31" s="144">
        <f t="shared" si="17"/>
        <v>0</v>
      </c>
      <c r="AW31" s="143"/>
      <c r="AX31" s="145"/>
      <c r="AY31" s="146"/>
      <c r="AZ31" s="705"/>
      <c r="BA31" s="148"/>
      <c r="BB31" s="39"/>
      <c r="BC31" s="39"/>
      <c r="BD31" s="39"/>
      <c r="BE31" s="39"/>
      <c r="BF31" s="39"/>
      <c r="BG31" s="39"/>
      <c r="BH31" s="39"/>
      <c r="BI31" s="39"/>
      <c r="BJ31" s="39"/>
      <c r="BK31" s="39"/>
      <c r="BL31" s="39"/>
      <c r="BM31" s="169" t="s">
        <v>100</v>
      </c>
      <c r="BN31" s="208">
        <v>100</v>
      </c>
      <c r="BO31" s="210">
        <v>80</v>
      </c>
      <c r="BP31" s="39"/>
      <c r="BQ31" s="39"/>
      <c r="BR31" s="211"/>
      <c r="BS31" s="39"/>
      <c r="BT31" s="39"/>
      <c r="BU31" s="39"/>
      <c r="BV31" s="39"/>
      <c r="BW31" s="39"/>
      <c r="BX31" s="39"/>
      <c r="BY31" s="39"/>
      <c r="BZ31" s="39"/>
      <c r="CA31" s="39"/>
      <c r="CB31" s="39"/>
      <c r="CC31" s="39"/>
      <c r="CD31" s="39"/>
      <c r="CE31" s="39"/>
    </row>
    <row r="32" spans="1:83" ht="18">
      <c r="A32" s="39"/>
      <c r="B32" s="99">
        <v>22</v>
      </c>
      <c r="C32" s="727"/>
      <c r="D32" s="733"/>
      <c r="E32" s="734"/>
      <c r="F32" s="734"/>
      <c r="G32" s="734"/>
      <c r="H32" s="139">
        <f t="shared" si="12"/>
      </c>
      <c r="I32" s="140">
        <f t="shared" si="13"/>
        <v>0</v>
      </c>
      <c r="J32" s="142"/>
      <c r="K32" s="49"/>
      <c r="L32" s="704">
        <f t="shared" si="3"/>
      </c>
      <c r="M32" s="51" t="str">
        <f t="shared" si="23"/>
        <v>　</v>
      </c>
      <c r="N32" s="51" t="str">
        <f t="shared" si="24"/>
        <v>　</v>
      </c>
      <c r="O32" s="39"/>
      <c r="P32" s="99">
        <v>22</v>
      </c>
      <c r="Q32" s="727"/>
      <c r="R32" s="733"/>
      <c r="S32" s="734"/>
      <c r="T32" s="734"/>
      <c r="U32" s="734"/>
      <c r="V32" s="139">
        <f t="shared" si="14"/>
      </c>
      <c r="W32" s="140">
        <f t="shared" si="15"/>
        <v>0</v>
      </c>
      <c r="X32" s="142"/>
      <c r="Y32" s="49"/>
      <c r="Z32" s="704">
        <f t="shared" si="6"/>
      </c>
      <c r="AA32" s="51" t="str">
        <f t="shared" si="19"/>
        <v>　</v>
      </c>
      <c r="AB32" s="51" t="str">
        <f t="shared" si="20"/>
        <v>　</v>
      </c>
      <c r="AC32" s="39"/>
      <c r="AD32" s="99">
        <v>22</v>
      </c>
      <c r="AE32" s="727"/>
      <c r="AF32" s="733"/>
      <c r="AG32" s="734"/>
      <c r="AH32" s="734"/>
      <c r="AI32" s="734"/>
      <c r="AJ32" s="139">
        <f t="shared" si="16"/>
      </c>
      <c r="AK32" s="140">
        <f t="shared" si="18"/>
        <v>0</v>
      </c>
      <c r="AL32" s="142"/>
      <c r="AM32" s="49"/>
      <c r="AN32" s="704">
        <f t="shared" si="9"/>
      </c>
      <c r="AO32" s="51" t="str">
        <f t="shared" si="21"/>
        <v>　</v>
      </c>
      <c r="AP32" s="51" t="str">
        <f t="shared" si="22"/>
        <v>　</v>
      </c>
      <c r="AQ32" s="39"/>
      <c r="AR32" s="99"/>
      <c r="AS32" s="143" t="s">
        <v>46</v>
      </c>
      <c r="AT32" s="144">
        <f>COUNTIF(E11:E35,"&gt;=52")+COUNTIF(S11:S35,"&gt;=52")+COUNTIF(AG11:AG35,"&gt;=52")</f>
        <v>0</v>
      </c>
      <c r="AU32" s="144">
        <f>SUMPRODUCT(($E$11:$E$35&gt;52)*($C$11:$C$35="×"))+SUMPRODUCT(($S$11:$S$35&gt;52)*($Q$11:$Q$35="×"))+SUMPRODUCT(($AG$11:$AG$35&gt;52)*($AE$11:$AE$35="×"))</f>
        <v>0</v>
      </c>
      <c r="AV32" s="144">
        <f t="shared" si="17"/>
        <v>0</v>
      </c>
      <c r="AW32" s="143"/>
      <c r="AX32" s="145"/>
      <c r="AY32" s="146"/>
      <c r="AZ32" s="705"/>
      <c r="BA32" s="148"/>
      <c r="BB32" s="39"/>
      <c r="BC32" s="39"/>
      <c r="BD32" s="39"/>
      <c r="BE32" s="39"/>
      <c r="BF32" s="39"/>
      <c r="BG32" s="39"/>
      <c r="BH32" s="39"/>
      <c r="BI32" s="39"/>
      <c r="BJ32" s="39"/>
      <c r="BK32" s="39"/>
      <c r="BL32" s="39"/>
      <c r="BM32" s="215" t="s">
        <v>102</v>
      </c>
      <c r="BN32" s="208">
        <v>90</v>
      </c>
      <c r="BO32" s="210">
        <v>70</v>
      </c>
      <c r="BP32" s="39"/>
      <c r="BQ32" s="39"/>
      <c r="BR32" s="211"/>
      <c r="BS32" s="39"/>
      <c r="BT32" s="39"/>
      <c r="BU32" s="39"/>
      <c r="BV32" s="39"/>
      <c r="BW32" s="39"/>
      <c r="BX32" s="39"/>
      <c r="BY32" s="39"/>
      <c r="BZ32" s="39"/>
      <c r="CA32" s="39"/>
      <c r="CB32" s="39"/>
      <c r="CC32" s="39"/>
      <c r="CD32" s="39"/>
      <c r="CE32" s="39"/>
    </row>
    <row r="33" spans="1:83" ht="18">
      <c r="A33" s="39"/>
      <c r="B33" s="99">
        <v>23</v>
      </c>
      <c r="C33" s="727"/>
      <c r="D33" s="733"/>
      <c r="E33" s="734"/>
      <c r="F33" s="734"/>
      <c r="G33" s="734"/>
      <c r="H33" s="139">
        <f t="shared" si="12"/>
      </c>
      <c r="I33" s="140">
        <f t="shared" si="13"/>
        <v>0</v>
      </c>
      <c r="J33" s="142"/>
      <c r="K33" s="49"/>
      <c r="L33" s="704">
        <f t="shared" si="3"/>
      </c>
      <c r="M33" s="51" t="str">
        <f t="shared" si="23"/>
        <v>　</v>
      </c>
      <c r="N33" s="51" t="str">
        <f t="shared" si="24"/>
        <v>　</v>
      </c>
      <c r="O33" s="39"/>
      <c r="P33" s="99">
        <v>23</v>
      </c>
      <c r="Q33" s="727"/>
      <c r="R33" s="733"/>
      <c r="S33" s="734"/>
      <c r="T33" s="734"/>
      <c r="U33" s="734"/>
      <c r="V33" s="139">
        <f t="shared" si="14"/>
      </c>
      <c r="W33" s="140">
        <f t="shared" si="15"/>
        <v>0</v>
      </c>
      <c r="X33" s="142"/>
      <c r="Y33" s="49"/>
      <c r="Z33" s="704">
        <f t="shared" si="6"/>
      </c>
      <c r="AA33" s="51" t="str">
        <f t="shared" si="19"/>
        <v>　</v>
      </c>
      <c r="AB33" s="51" t="str">
        <f t="shared" si="20"/>
        <v>　</v>
      </c>
      <c r="AC33" s="39"/>
      <c r="AD33" s="99">
        <v>23</v>
      </c>
      <c r="AE33" s="727"/>
      <c r="AF33" s="733"/>
      <c r="AG33" s="734"/>
      <c r="AH33" s="734"/>
      <c r="AI33" s="734"/>
      <c r="AJ33" s="139">
        <f t="shared" si="16"/>
      </c>
      <c r="AK33" s="140">
        <f t="shared" si="18"/>
        <v>0</v>
      </c>
      <c r="AL33" s="142"/>
      <c r="AM33" s="49"/>
      <c r="AN33" s="704">
        <f t="shared" si="9"/>
      </c>
      <c r="AO33" s="51" t="str">
        <f t="shared" si="21"/>
        <v>　</v>
      </c>
      <c r="AP33" s="51" t="str">
        <f t="shared" si="22"/>
        <v>　</v>
      </c>
      <c r="AQ33" s="39"/>
      <c r="AR33" s="99"/>
      <c r="AS33" s="143"/>
      <c r="AT33" s="144"/>
      <c r="AU33" s="144"/>
      <c r="AV33" s="144"/>
      <c r="AW33" s="143"/>
      <c r="AX33" s="145"/>
      <c r="AY33" s="146"/>
      <c r="AZ33" s="705"/>
      <c r="BA33" s="148"/>
      <c r="BB33" s="39"/>
      <c r="BC33" s="39"/>
      <c r="BD33" s="39"/>
      <c r="BE33" s="39"/>
      <c r="BF33" s="39"/>
      <c r="BG33" s="39"/>
      <c r="BH33" s="39"/>
      <c r="BI33" s="39"/>
      <c r="BJ33" s="39"/>
      <c r="BK33" s="39"/>
      <c r="BL33" s="39"/>
      <c r="BM33" s="169" t="s">
        <v>200</v>
      </c>
      <c r="BN33" s="208">
        <v>80</v>
      </c>
      <c r="BO33" s="210">
        <v>60</v>
      </c>
      <c r="BP33" s="39"/>
      <c r="BQ33" s="39"/>
      <c r="BR33" s="211"/>
      <c r="BS33" s="39"/>
      <c r="BT33" s="39"/>
      <c r="BU33" s="39"/>
      <c r="BV33" s="39"/>
      <c r="BW33" s="39"/>
      <c r="BX33" s="39"/>
      <c r="BY33" s="39"/>
      <c r="BZ33" s="39"/>
      <c r="CA33" s="39"/>
      <c r="CB33" s="39"/>
      <c r="CC33" s="39"/>
      <c r="CD33" s="39"/>
      <c r="CE33" s="39"/>
    </row>
    <row r="34" spans="1:83" ht="18">
      <c r="A34" s="39"/>
      <c r="B34" s="99">
        <v>24</v>
      </c>
      <c r="C34" s="727"/>
      <c r="D34" s="733"/>
      <c r="E34" s="734"/>
      <c r="F34" s="734"/>
      <c r="G34" s="734"/>
      <c r="H34" s="139">
        <f t="shared" si="12"/>
      </c>
      <c r="I34" s="140">
        <f t="shared" si="13"/>
        <v>0</v>
      </c>
      <c r="J34" s="142"/>
      <c r="K34" s="49"/>
      <c r="L34" s="704">
        <f t="shared" si="3"/>
      </c>
      <c r="M34" s="51" t="str">
        <f t="shared" si="23"/>
        <v>　</v>
      </c>
      <c r="N34" s="51" t="str">
        <f t="shared" si="24"/>
        <v>　</v>
      </c>
      <c r="O34" s="39"/>
      <c r="P34" s="99">
        <v>24</v>
      </c>
      <c r="Q34" s="727"/>
      <c r="R34" s="733"/>
      <c r="S34" s="734"/>
      <c r="T34" s="734"/>
      <c r="U34" s="734"/>
      <c r="V34" s="139">
        <f t="shared" si="14"/>
      </c>
      <c r="W34" s="140">
        <f t="shared" si="15"/>
        <v>0</v>
      </c>
      <c r="X34" s="142"/>
      <c r="Y34" s="49"/>
      <c r="Z34" s="704">
        <f t="shared" si="6"/>
      </c>
      <c r="AA34" s="51" t="str">
        <f t="shared" si="19"/>
        <v>　</v>
      </c>
      <c r="AB34" s="51" t="str">
        <f t="shared" si="20"/>
        <v>　</v>
      </c>
      <c r="AC34" s="39"/>
      <c r="AD34" s="99">
        <v>24</v>
      </c>
      <c r="AE34" s="727"/>
      <c r="AF34" s="733"/>
      <c r="AG34" s="734"/>
      <c r="AH34" s="734"/>
      <c r="AI34" s="734"/>
      <c r="AJ34" s="139">
        <f t="shared" si="16"/>
      </c>
      <c r="AK34" s="140">
        <f t="shared" si="18"/>
        <v>0</v>
      </c>
      <c r="AL34" s="142"/>
      <c r="AM34" s="49"/>
      <c r="AN34" s="704">
        <f t="shared" si="9"/>
      </c>
      <c r="AO34" s="51" t="str">
        <f t="shared" si="21"/>
        <v>　</v>
      </c>
      <c r="AP34" s="51" t="str">
        <f t="shared" si="22"/>
        <v>　</v>
      </c>
      <c r="AQ34" s="39"/>
      <c r="AR34" s="99"/>
      <c r="AS34" s="143"/>
      <c r="AT34" s="144"/>
      <c r="AU34" s="144"/>
      <c r="AV34" s="144"/>
      <c r="AW34" s="143"/>
      <c r="AX34" s="145"/>
      <c r="AY34" s="146"/>
      <c r="AZ34" s="705"/>
      <c r="BA34" s="148"/>
      <c r="BB34" s="39"/>
      <c r="BC34" s="39"/>
      <c r="BD34" s="39"/>
      <c r="BE34" s="39"/>
      <c r="BF34" s="39"/>
      <c r="BG34" s="39"/>
      <c r="BH34" s="39"/>
      <c r="BI34" s="39"/>
      <c r="BJ34" s="39"/>
      <c r="BK34" s="39"/>
      <c r="BL34" s="39"/>
      <c r="BM34" s="169" t="s">
        <v>138</v>
      </c>
      <c r="BN34" s="208">
        <v>70</v>
      </c>
      <c r="BO34" s="210">
        <v>50</v>
      </c>
      <c r="BP34" s="39"/>
      <c r="BQ34" s="39"/>
      <c r="BR34" s="211"/>
      <c r="BS34" s="39"/>
      <c r="BT34" s="39"/>
      <c r="BU34" s="39"/>
      <c r="BV34" s="39"/>
      <c r="BW34" s="39"/>
      <c r="BX34" s="39"/>
      <c r="BY34" s="39"/>
      <c r="BZ34" s="39"/>
      <c r="CA34" s="39"/>
      <c r="CB34" s="39"/>
      <c r="CC34" s="39"/>
      <c r="CD34" s="39"/>
      <c r="CE34" s="39"/>
    </row>
    <row r="35" spans="1:83" ht="18" customHeight="1">
      <c r="A35" s="39"/>
      <c r="B35" s="99">
        <v>25</v>
      </c>
      <c r="C35" s="727"/>
      <c r="D35" s="733"/>
      <c r="E35" s="734"/>
      <c r="F35" s="734"/>
      <c r="G35" s="734"/>
      <c r="H35" s="139">
        <f t="shared" si="12"/>
      </c>
      <c r="I35" s="140">
        <f t="shared" si="13"/>
        <v>0</v>
      </c>
      <c r="J35" s="142"/>
      <c r="K35" s="49"/>
      <c r="L35" s="704">
        <f t="shared" si="3"/>
      </c>
      <c r="M35" s="51" t="str">
        <f t="shared" si="23"/>
        <v>　</v>
      </c>
      <c r="N35" s="51" t="str">
        <f t="shared" si="24"/>
        <v>　</v>
      </c>
      <c r="O35" s="39"/>
      <c r="P35" s="99">
        <v>25</v>
      </c>
      <c r="Q35" s="727"/>
      <c r="R35" s="733"/>
      <c r="S35" s="734"/>
      <c r="T35" s="734"/>
      <c r="U35" s="734"/>
      <c r="V35" s="139">
        <f t="shared" si="14"/>
      </c>
      <c r="W35" s="140">
        <f t="shared" si="15"/>
        <v>0</v>
      </c>
      <c r="X35" s="142"/>
      <c r="Y35" s="49"/>
      <c r="Z35" s="704">
        <f t="shared" si="6"/>
      </c>
      <c r="AA35" s="51" t="str">
        <f t="shared" si="19"/>
        <v>　</v>
      </c>
      <c r="AB35" s="51" t="str">
        <f t="shared" si="20"/>
        <v>　</v>
      </c>
      <c r="AC35" s="39"/>
      <c r="AD35" s="99">
        <v>25</v>
      </c>
      <c r="AE35" s="727"/>
      <c r="AF35" s="733"/>
      <c r="AG35" s="734"/>
      <c r="AH35" s="734"/>
      <c r="AI35" s="734"/>
      <c r="AJ35" s="139">
        <f t="shared" si="16"/>
      </c>
      <c r="AK35" s="140">
        <f t="shared" si="18"/>
        <v>0</v>
      </c>
      <c r="AL35" s="142"/>
      <c r="AM35" s="49"/>
      <c r="AN35" s="704">
        <f t="shared" si="9"/>
      </c>
      <c r="AO35" s="51" t="str">
        <f t="shared" si="21"/>
        <v>　</v>
      </c>
      <c r="AP35" s="51" t="str">
        <f t="shared" si="22"/>
        <v>　</v>
      </c>
      <c r="AQ35" s="39"/>
      <c r="AR35" s="99"/>
      <c r="AS35" s="216" t="s">
        <v>67</v>
      </c>
      <c r="AT35" s="99" t="s">
        <v>2</v>
      </c>
      <c r="AU35" s="99" t="s">
        <v>12</v>
      </c>
      <c r="AV35" s="99" t="s">
        <v>18</v>
      </c>
      <c r="AW35" s="99" t="s">
        <v>34</v>
      </c>
      <c r="AX35" s="99" t="s">
        <v>279</v>
      </c>
      <c r="AY35" s="217" t="s">
        <v>4</v>
      </c>
      <c r="AZ35" s="706" t="s">
        <v>280</v>
      </c>
      <c r="BA35" s="219" t="s">
        <v>80</v>
      </c>
      <c r="BB35" s="39"/>
      <c r="BC35" s="39"/>
      <c r="BD35" s="39"/>
      <c r="BE35" s="39"/>
      <c r="BF35" s="39"/>
      <c r="BG35" s="39"/>
      <c r="BH35" s="39"/>
      <c r="BI35" s="39"/>
      <c r="BJ35" s="39"/>
      <c r="BK35" s="39"/>
      <c r="BL35" s="39"/>
      <c r="BM35" s="169" t="s">
        <v>152</v>
      </c>
      <c r="BN35" s="208">
        <v>60</v>
      </c>
      <c r="BO35" s="210">
        <v>40</v>
      </c>
      <c r="BP35" s="39"/>
      <c r="BQ35" s="39"/>
      <c r="BR35" s="211"/>
      <c r="BS35" s="39"/>
      <c r="BT35" s="39"/>
      <c r="BU35" s="39"/>
      <c r="BV35" s="39"/>
      <c r="BW35" s="39"/>
      <c r="BX35" s="39"/>
      <c r="BY35" s="39"/>
      <c r="BZ35" s="39"/>
      <c r="CA35" s="39"/>
      <c r="CB35" s="39"/>
      <c r="CC35" s="39"/>
      <c r="CD35" s="39"/>
      <c r="CE35" s="39"/>
    </row>
    <row r="36" spans="1:83" ht="18" customHeight="1">
      <c r="A36" s="39"/>
      <c r="B36" s="126" t="s">
        <v>3</v>
      </c>
      <c r="C36" s="220">
        <f>COUNTA(C11:C35)</f>
        <v>0</v>
      </c>
      <c r="D36" s="221">
        <f>COUNTA(E11:E35)</f>
        <v>0</v>
      </c>
      <c r="E36" s="222">
        <f>SUM(E11:E35)</f>
        <v>0</v>
      </c>
      <c r="F36" s="222">
        <f>SUM(F11:F35)</f>
        <v>0</v>
      </c>
      <c r="G36" s="222">
        <f>SUM(G11:G35)</f>
        <v>0</v>
      </c>
      <c r="H36" s="223">
        <f>SUM(H11:H35)</f>
        <v>0</v>
      </c>
      <c r="I36" s="224">
        <f>SUM(I11:I35)</f>
        <v>0</v>
      </c>
      <c r="J36" s="225"/>
      <c r="K36" s="52">
        <f>SUM(K11:K35)</f>
        <v>0</v>
      </c>
      <c r="L36" s="53" t="s">
        <v>45</v>
      </c>
      <c r="M36" s="54"/>
      <c r="N36" s="54"/>
      <c r="O36" s="39"/>
      <c r="P36" s="126" t="s">
        <v>3</v>
      </c>
      <c r="Q36" s="220">
        <f>COUNTA(Q11:Q35)</f>
        <v>0</v>
      </c>
      <c r="R36" s="221">
        <f>COUNTA(S11:S35)</f>
        <v>0</v>
      </c>
      <c r="S36" s="222">
        <f>SUM(S11:S35)</f>
        <v>0</v>
      </c>
      <c r="T36" s="222">
        <f>SUM(T11:T35)</f>
        <v>0</v>
      </c>
      <c r="U36" s="222">
        <f>SUM(U11:U35)</f>
        <v>0</v>
      </c>
      <c r="V36" s="223">
        <f>SUM(V11:V35)</f>
        <v>0</v>
      </c>
      <c r="W36" s="224">
        <f>SUM(W11:W35)</f>
        <v>0</v>
      </c>
      <c r="X36" s="225"/>
      <c r="Y36" s="52">
        <f>SUM(Y11:Y35)</f>
        <v>0</v>
      </c>
      <c r="Z36" s="53" t="s">
        <v>45</v>
      </c>
      <c r="AA36" s="54"/>
      <c r="AB36" s="54"/>
      <c r="AC36" s="39"/>
      <c r="AD36" s="126" t="s">
        <v>3</v>
      </c>
      <c r="AE36" s="220">
        <f>COUNTA(AE11:AE35)</f>
        <v>0</v>
      </c>
      <c r="AF36" s="221">
        <f>COUNTA(AG11:AG35)</f>
        <v>0</v>
      </c>
      <c r="AG36" s="222">
        <f>SUM(AG11:AG35)</f>
        <v>0</v>
      </c>
      <c r="AH36" s="222">
        <f>SUM(AH11:AH35)</f>
        <v>0</v>
      </c>
      <c r="AI36" s="222">
        <f>SUM(AI11:AI35)</f>
        <v>0</v>
      </c>
      <c r="AJ36" s="223">
        <f>SUM(AJ11:AJ35)</f>
        <v>0</v>
      </c>
      <c r="AK36" s="224">
        <f>SUM(AK11:AK35)</f>
        <v>0</v>
      </c>
      <c r="AL36" s="225"/>
      <c r="AM36" s="52">
        <f>SUM(AM11:AM35)</f>
        <v>0</v>
      </c>
      <c r="AN36" s="53" t="s">
        <v>45</v>
      </c>
      <c r="AO36" s="54"/>
      <c r="AP36" s="54"/>
      <c r="AQ36" s="39"/>
      <c r="AR36" s="99" t="s">
        <v>79</v>
      </c>
      <c r="AS36" s="226">
        <f>D36+R36+AF36</f>
        <v>0</v>
      </c>
      <c r="AT36" s="227">
        <f>E36+S36+AG36</f>
        <v>0</v>
      </c>
      <c r="AU36" s="228">
        <f>F36+T36+AH36</f>
        <v>0</v>
      </c>
      <c r="AV36" s="228">
        <f>G36+U36+AI36</f>
        <v>0</v>
      </c>
      <c r="AW36" s="228">
        <f>K36+Y36+AM36</f>
        <v>0</v>
      </c>
      <c r="AX36" s="229">
        <f>H36+V36+AJ36</f>
        <v>0</v>
      </c>
      <c r="AY36" s="230">
        <f>I36+W36+AK36</f>
        <v>0</v>
      </c>
      <c r="AZ36" s="226">
        <f>L37+Z37+AN37</f>
        <v>0</v>
      </c>
      <c r="BA36" s="226">
        <f>C36+Q36+AE36</f>
        <v>0</v>
      </c>
      <c r="BB36" s="39"/>
      <c r="BC36" s="39"/>
      <c r="BD36" s="39"/>
      <c r="BE36" s="39"/>
      <c r="BF36" s="39"/>
      <c r="BG36" s="39"/>
      <c r="BH36" s="39"/>
      <c r="BI36" s="39"/>
      <c r="BJ36" s="39"/>
      <c r="BK36" s="39"/>
      <c r="BL36" s="39"/>
      <c r="BM36" s="746" t="s">
        <v>179</v>
      </c>
      <c r="BN36" s="746"/>
      <c r="BO36" s="746"/>
      <c r="BP36" s="746"/>
      <c r="BQ36" s="39"/>
      <c r="BR36" s="231"/>
      <c r="BS36" s="39"/>
      <c r="BT36" s="39"/>
      <c r="BU36" s="39"/>
      <c r="BV36" s="39"/>
      <c r="BW36" s="39"/>
      <c r="BX36" s="39"/>
      <c r="BY36" s="39"/>
      <c r="BZ36" s="39"/>
      <c r="CA36" s="39"/>
      <c r="CB36" s="39"/>
      <c r="CC36" s="39"/>
      <c r="CD36" s="39"/>
      <c r="CE36" s="39"/>
    </row>
    <row r="37" spans="1:83" ht="18" customHeight="1">
      <c r="A37" s="39"/>
      <c r="B37" s="99" t="s">
        <v>24</v>
      </c>
      <c r="C37" s="232" t="s">
        <v>281</v>
      </c>
      <c r="D37" s="232" t="s">
        <v>281</v>
      </c>
      <c r="E37" s="233">
        <f>IF(ISERROR(E36/D36),0,E36/D36)</f>
        <v>0</v>
      </c>
      <c r="F37" s="234">
        <f>IF(ISERROR(F36/L37),0,F36/L37)</f>
        <v>0</v>
      </c>
      <c r="G37" s="234">
        <f>IF(ISERROR(G36/L37),0,G36/L37)</f>
        <v>0</v>
      </c>
      <c r="H37" s="235">
        <f>IF(ISERROR(H36/D36),0,H36/D36)</f>
        <v>0</v>
      </c>
      <c r="I37" s="236">
        <f>IF(ISERROR(I36/D36),0,I36/D36)</f>
        <v>0</v>
      </c>
      <c r="J37" s="237"/>
      <c r="K37" s="55">
        <f>IF(ISERROR(K36/L37),0,K36/L37)</f>
        <v>0</v>
      </c>
      <c r="L37" s="56">
        <f>COUNTA(F11:F35)</f>
        <v>0</v>
      </c>
      <c r="M37" s="57"/>
      <c r="N37" s="57"/>
      <c r="O37" s="39"/>
      <c r="P37" s="99" t="s">
        <v>24</v>
      </c>
      <c r="Q37" s="232" t="s">
        <v>281</v>
      </c>
      <c r="R37" s="232" t="s">
        <v>281</v>
      </c>
      <c r="S37" s="233">
        <f>IF(ISERROR(S36/R36),0,S36/R36)</f>
        <v>0</v>
      </c>
      <c r="T37" s="234">
        <f>IF(ISERROR(T36/Z37),0,T36/Z37)</f>
        <v>0</v>
      </c>
      <c r="U37" s="234">
        <f>IF(ISERROR(U36/Z37),0,U36/Z37)</f>
        <v>0</v>
      </c>
      <c r="V37" s="235">
        <f>IF(ISERROR(V36/R36),0,V36/R36)</f>
        <v>0</v>
      </c>
      <c r="W37" s="236">
        <f>IF(ISERROR(W36/R36),0,W36/R36)</f>
        <v>0</v>
      </c>
      <c r="X37" s="237"/>
      <c r="Y37" s="55">
        <f>IF(ISERROR(Y36/Z37),0,Y36/Z37)</f>
        <v>0</v>
      </c>
      <c r="Z37" s="56">
        <f>COUNTA(T11:T35)</f>
        <v>0</v>
      </c>
      <c r="AA37" s="57"/>
      <c r="AB37" s="57"/>
      <c r="AC37" s="39"/>
      <c r="AD37" s="99" t="s">
        <v>24</v>
      </c>
      <c r="AE37" s="232" t="s">
        <v>281</v>
      </c>
      <c r="AF37" s="232" t="s">
        <v>281</v>
      </c>
      <c r="AG37" s="233">
        <f>IF(ISERROR(AG36/AF36),0,AG36/AF36)</f>
        <v>0</v>
      </c>
      <c r="AH37" s="234">
        <f>IF(ISERROR(AH36/AN37),0,AH36/AN37)</f>
        <v>0</v>
      </c>
      <c r="AI37" s="234">
        <f>IF(ISERROR(AI36/AN37),0,AI36/AN37)</f>
        <v>0</v>
      </c>
      <c r="AJ37" s="235">
        <f>IF(ISERROR(AJ36/AF36),0,AJ36/AF36)</f>
        <v>0</v>
      </c>
      <c r="AK37" s="236">
        <f>IF(ISERROR(AK36/AF36),0,AK36/AF36)</f>
        <v>0</v>
      </c>
      <c r="AL37" s="237"/>
      <c r="AM37" s="55">
        <f>IF(ISERROR(AM36/AN37),0,AM36/AN37)</f>
        <v>0</v>
      </c>
      <c r="AN37" s="56">
        <f>COUNTA(AH11:AH35)</f>
        <v>0</v>
      </c>
      <c r="AO37" s="57"/>
      <c r="AP37" s="57"/>
      <c r="AQ37" s="39"/>
      <c r="AR37" s="99" t="s">
        <v>95</v>
      </c>
      <c r="AS37" s="238" t="s">
        <v>282</v>
      </c>
      <c r="AT37" s="239">
        <f>IF(ISERROR(AT36/AS36),0,AT36/AS36)</f>
        <v>0</v>
      </c>
      <c r="AU37" s="240">
        <f>IF(ISERROR(AU36/AZ36),0,AU36/AZ36)</f>
        <v>0</v>
      </c>
      <c r="AV37" s="240">
        <f>IF(ISERROR(AV36/AZ36),0,AV36/AZ36)</f>
        <v>0</v>
      </c>
      <c r="AW37" s="240">
        <f>IF(ISERROR(AW36/AZ36),0,AW36/AZ36)</f>
        <v>0</v>
      </c>
      <c r="AX37" s="241">
        <f>IF(ISERROR(AX36/AS36),0,AX36/AS36)</f>
        <v>0</v>
      </c>
      <c r="AY37" s="242">
        <f>IF(ISERROR(AY36/AS36),0,AY36/AS36)</f>
        <v>0</v>
      </c>
      <c r="AZ37" s="238" t="s">
        <v>282</v>
      </c>
      <c r="BA37" s="238" t="s">
        <v>282</v>
      </c>
      <c r="BB37" s="39"/>
      <c r="BC37" s="243"/>
      <c r="BD37" s="243"/>
      <c r="BE37" s="244" t="s">
        <v>169</v>
      </c>
      <c r="BF37" s="539">
        <v>0.3</v>
      </c>
      <c r="BG37" s="39"/>
      <c r="BH37" s="39"/>
      <c r="BI37" s="39"/>
      <c r="BJ37" s="39"/>
      <c r="BK37" s="39"/>
      <c r="BL37" s="39"/>
      <c r="BM37" s="746"/>
      <c r="BN37" s="746"/>
      <c r="BO37" s="746"/>
      <c r="BP37" s="746"/>
      <c r="BQ37" s="39"/>
      <c r="BR37" s="39"/>
      <c r="BS37" s="39"/>
      <c r="BT37" s="39"/>
      <c r="BU37" s="39"/>
      <c r="BV37" s="39"/>
      <c r="BW37" s="39"/>
      <c r="BX37" s="39"/>
      <c r="BY37" s="39"/>
      <c r="BZ37" s="39"/>
      <c r="CA37" s="39"/>
      <c r="CB37" s="39"/>
      <c r="CC37" s="39"/>
      <c r="CD37" s="39"/>
      <c r="CE37" s="39"/>
    </row>
    <row r="38" spans="1:83" ht="15">
      <c r="A38" s="39"/>
      <c r="B38" s="246"/>
      <c r="C38" s="247"/>
      <c r="D38" s="248"/>
      <c r="E38" s="248"/>
      <c r="F38" s="120"/>
      <c r="G38" s="248"/>
      <c r="H38" s="249"/>
      <c r="I38" s="247"/>
      <c r="J38" s="250"/>
      <c r="K38" s="58"/>
      <c r="L38" s="59"/>
      <c r="M38" s="54"/>
      <c r="N38" s="54"/>
      <c r="O38" s="39"/>
      <c r="P38" s="246"/>
      <c r="Q38" s="247"/>
      <c r="R38" s="248"/>
      <c r="S38" s="248"/>
      <c r="T38" s="39"/>
      <c r="U38" s="248"/>
      <c r="V38" s="249"/>
      <c r="W38" s="247"/>
      <c r="X38" s="251"/>
      <c r="Y38" s="58"/>
      <c r="Z38" s="58"/>
      <c r="AA38" s="54"/>
      <c r="AB38" s="54"/>
      <c r="AC38" s="39"/>
      <c r="AD38" s="246"/>
      <c r="AE38" s="248"/>
      <c r="AF38" s="248"/>
      <c r="AG38" s="39"/>
      <c r="AH38" s="248"/>
      <c r="AI38" s="249"/>
      <c r="AJ38" s="247"/>
      <c r="AK38" s="247"/>
      <c r="AL38" s="251"/>
      <c r="AM38" s="58"/>
      <c r="AN38" s="58"/>
      <c r="AO38" s="54"/>
      <c r="AP38" s="54"/>
      <c r="AQ38" s="39"/>
      <c r="AR38" s="252"/>
      <c r="AS38" s="253"/>
      <c r="AT38" s="253"/>
      <c r="AU38" s="39"/>
      <c r="AV38" s="253"/>
      <c r="AW38" s="253"/>
      <c r="AX38" s="254"/>
      <c r="AY38" s="255"/>
      <c r="AZ38" s="253"/>
      <c r="BA38" s="255"/>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row>
    <row r="39" spans="1:83" ht="14.25" hidden="1">
      <c r="A39" s="43"/>
      <c r="B39" s="256" t="s">
        <v>32</v>
      </c>
      <c r="C39" s="257" t="s">
        <v>283</v>
      </c>
      <c r="D39" s="258">
        <f>COUNTIF(L11:L35,"○")</f>
        <v>0</v>
      </c>
      <c r="E39" s="259">
        <f>SUMIF(L11:L35,"○",E11:E35)</f>
        <v>0</v>
      </c>
      <c r="F39" s="60">
        <f>SUMIF(L11:L35,"○",F11:F35)</f>
        <v>0</v>
      </c>
      <c r="G39" s="60">
        <f>SUMIF(L11:L35,"○",G11:G35)</f>
        <v>0</v>
      </c>
      <c r="H39" s="260">
        <f>SUMIF(L11:L35,"○",H11:H35)</f>
        <v>0</v>
      </c>
      <c r="I39" s="261">
        <f>SUMIF(L11:L35,"○",I11:I35)</f>
        <v>0</v>
      </c>
      <c r="J39" s="257" t="s">
        <v>283</v>
      </c>
      <c r="K39" s="60">
        <f>SUMIF(L11:L35,"○",K11:K35)</f>
        <v>0</v>
      </c>
      <c r="L39" s="61">
        <f>COUNTIF(M11:M35,"○有")</f>
        <v>0</v>
      </c>
      <c r="M39" s="62"/>
      <c r="N39" s="62"/>
      <c r="O39" s="43"/>
      <c r="P39" s="256" t="s">
        <v>32</v>
      </c>
      <c r="Q39" s="257" t="s">
        <v>283</v>
      </c>
      <c r="R39" s="258">
        <f>COUNTIF(Z11:Z35,"○")</f>
        <v>0</v>
      </c>
      <c r="S39" s="259">
        <f>SUMIF(Z11:Z35,"○",S11:S35)</f>
        <v>0</v>
      </c>
      <c r="T39" s="60">
        <f>SUMIF(Z11:Z35,"○",T11:T35)</f>
        <v>0</v>
      </c>
      <c r="U39" s="60">
        <f>SUMIF(Z11:Z35,"○",U11:U35)</f>
        <v>0</v>
      </c>
      <c r="V39" s="260">
        <f>SUMIF(Z11:Z35,"○",V11:V35)</f>
        <v>0</v>
      </c>
      <c r="W39" s="261">
        <f>SUMIF(Z11:Z35,"○",W11:W35)</f>
        <v>0</v>
      </c>
      <c r="X39" s="257" t="s">
        <v>283</v>
      </c>
      <c r="Y39" s="60">
        <f>SUMIF(Z11:Z35,"○",Y11:Y35)</f>
        <v>0</v>
      </c>
      <c r="Z39" s="262">
        <f>COUNTIF(AA11:AA35,"○有")</f>
        <v>0</v>
      </c>
      <c r="AA39" s="62"/>
      <c r="AB39" s="62"/>
      <c r="AC39" s="263"/>
      <c r="AD39" s="256" t="s">
        <v>32</v>
      </c>
      <c r="AE39" s="257" t="s">
        <v>283</v>
      </c>
      <c r="AF39" s="258">
        <f>COUNTIF(AN11:AN35,"○")</f>
        <v>0</v>
      </c>
      <c r="AG39" s="259">
        <f>SUMIF(AN11:AN35,"○",AG11:AG35)</f>
        <v>0</v>
      </c>
      <c r="AH39" s="60">
        <f>SUMIF(AN11:AN35,"○",AH11:AH35)</f>
        <v>0</v>
      </c>
      <c r="AI39" s="60">
        <f>SUMIF(AN11:AN35,"○",AI11:AI35)</f>
        <v>0</v>
      </c>
      <c r="AJ39" s="260">
        <f>SUMIF(AN11:AN35,"○",AJ11:AJ35)</f>
        <v>0</v>
      </c>
      <c r="AK39" s="261">
        <f>SUMIF(AN11:AN35,"○",AK11:AK35)</f>
        <v>0</v>
      </c>
      <c r="AL39" s="257" t="s">
        <v>283</v>
      </c>
      <c r="AM39" s="60">
        <f>SUMIF(AN11:AN35,"○",AM11:AM35)</f>
        <v>0</v>
      </c>
      <c r="AN39" s="262">
        <f>COUNTIF(AO11:AO35,"○有")</f>
        <v>0</v>
      </c>
      <c r="AO39" s="62"/>
      <c r="AP39" s="62"/>
      <c r="AQ39" s="263"/>
      <c r="AR39" s="264" t="s">
        <v>32</v>
      </c>
      <c r="AS39" s="265">
        <f>D39+R39+AF39</f>
        <v>0</v>
      </c>
      <c r="AT39" s="266">
        <f aca="true" t="shared" si="25" ref="AT39:AV41">E39+S39+AG39</f>
        <v>0</v>
      </c>
      <c r="AU39" s="267">
        <f t="shared" si="25"/>
        <v>0</v>
      </c>
      <c r="AV39" s="267">
        <f t="shared" si="25"/>
        <v>0</v>
      </c>
      <c r="AW39" s="267">
        <f>K39+Y39+AM39</f>
        <v>0</v>
      </c>
      <c r="AX39" s="268">
        <f aca="true" t="shared" si="26" ref="AX39:AY41">H39+V39+AJ39</f>
        <v>0</v>
      </c>
      <c r="AY39" s="269">
        <f t="shared" si="26"/>
        <v>0</v>
      </c>
      <c r="AZ39" s="270">
        <f>L39+Z39+AN39</f>
        <v>0</v>
      </c>
      <c r="BA39" s="271" t="s">
        <v>283</v>
      </c>
      <c r="BB39" s="272"/>
      <c r="BC39" s="272"/>
      <c r="BD39" s="272"/>
      <c r="BE39" s="272"/>
      <c r="BF39" s="272"/>
      <c r="BG39" s="272"/>
      <c r="BH39" s="272"/>
      <c r="BI39" s="272"/>
      <c r="BJ39" s="272"/>
      <c r="BK39" s="272"/>
      <c r="BL39" s="272"/>
      <c r="BM39" s="272"/>
      <c r="BN39" s="272"/>
      <c r="BO39" s="272"/>
      <c r="BP39" s="272"/>
      <c r="BQ39" s="272"/>
      <c r="BR39" s="272"/>
      <c r="BS39" s="272"/>
      <c r="BT39" s="272"/>
      <c r="BU39" s="272"/>
      <c r="BV39" s="272"/>
      <c r="BW39" s="272"/>
      <c r="BX39" s="272"/>
      <c r="BY39" s="272"/>
      <c r="BZ39" s="272"/>
      <c r="CA39" s="272"/>
      <c r="CB39" s="272"/>
      <c r="CC39" s="272"/>
      <c r="CD39" s="272"/>
      <c r="CE39" s="272"/>
    </row>
    <row r="40" spans="1:83" ht="15" hidden="1" thickBot="1">
      <c r="A40" s="43"/>
      <c r="B40" s="273" t="s">
        <v>42</v>
      </c>
      <c r="C40" s="274" t="s">
        <v>284</v>
      </c>
      <c r="D40" s="275">
        <f>COUNTIF(L11:L35,"△")</f>
        <v>0</v>
      </c>
      <c r="E40" s="276">
        <f>SUMIF(L11:L35,"△",E11:E35)</f>
        <v>0</v>
      </c>
      <c r="F40" s="63">
        <f>SUMIF(L11:L35,"△",F11:F35)</f>
        <v>0</v>
      </c>
      <c r="G40" s="63">
        <f>SUMIF(L11:L35,"△",G11:G35)</f>
        <v>0</v>
      </c>
      <c r="H40" s="277">
        <f>SUMIF(L11:L35,"△",H11:H35)</f>
        <v>0</v>
      </c>
      <c r="I40" s="278">
        <f>SUMIF(L11:L35,"△",I11:I35)</f>
        <v>0</v>
      </c>
      <c r="J40" s="274" t="s">
        <v>284</v>
      </c>
      <c r="K40" s="63">
        <f>SUMIF(L11:L35,"△",K11:K35)</f>
        <v>0</v>
      </c>
      <c r="L40" s="61">
        <f>COUNTIF(M11:M35,"△有")</f>
        <v>0</v>
      </c>
      <c r="M40" s="64"/>
      <c r="N40" s="64"/>
      <c r="O40" s="279"/>
      <c r="P40" s="273" t="s">
        <v>42</v>
      </c>
      <c r="Q40" s="274" t="s">
        <v>284</v>
      </c>
      <c r="R40" s="275">
        <f>COUNTIF(Z11:Z35,"△")</f>
        <v>0</v>
      </c>
      <c r="S40" s="276">
        <f>SUMIF(Z11:Z35,"△",S11:S35)</f>
        <v>0</v>
      </c>
      <c r="T40" s="63">
        <f>SUMIF(Z11:Z35,"△",T11:T35)</f>
        <v>0</v>
      </c>
      <c r="U40" s="63">
        <f>SUMIF(Z11:Z35,"△",U11:U35)</f>
        <v>0</v>
      </c>
      <c r="V40" s="277">
        <f>SUMIF(Z11:Z35,"△",V11:V35)</f>
        <v>0</v>
      </c>
      <c r="W40" s="278">
        <f>SUMIF(Z11:Z35,"△",W11:W35)</f>
        <v>0</v>
      </c>
      <c r="X40" s="274" t="s">
        <v>284</v>
      </c>
      <c r="Y40" s="63">
        <f>SUMIF(Z11:Z35,"△",Y11:Y35)</f>
        <v>0</v>
      </c>
      <c r="Z40" s="61">
        <f>COUNTIF(AA11:AA35,"△有")</f>
        <v>0</v>
      </c>
      <c r="AA40" s="64"/>
      <c r="AB40" s="64"/>
      <c r="AC40" s="279"/>
      <c r="AD40" s="273" t="s">
        <v>42</v>
      </c>
      <c r="AE40" s="274" t="s">
        <v>284</v>
      </c>
      <c r="AF40" s="275">
        <f>COUNTIF(AN11:AN35,"△")</f>
        <v>0</v>
      </c>
      <c r="AG40" s="276">
        <f>SUMIF(AN11:AN35,"△",AG11:AG35)</f>
        <v>0</v>
      </c>
      <c r="AH40" s="63">
        <f>SUMIF(AN11:AN35,"△",AH11:AH35)</f>
        <v>0</v>
      </c>
      <c r="AI40" s="63">
        <f>SUMIF(AN11:AN35,"△",AI11:AI35)</f>
        <v>0</v>
      </c>
      <c r="AJ40" s="277">
        <f>SUMIF(AN11:AN35,"△",AJ11:AJ35)</f>
        <v>0</v>
      </c>
      <c r="AK40" s="278">
        <f>SUMIF(AN11:AN35,"△",AK11:AK35)</f>
        <v>0</v>
      </c>
      <c r="AL40" s="274" t="s">
        <v>284</v>
      </c>
      <c r="AM40" s="63">
        <f>SUMIF(AN11:AN35,"△",AM11:AM35)</f>
        <v>0</v>
      </c>
      <c r="AN40" s="61">
        <f>COUNTIF(AO11:AO35,"△有")</f>
        <v>0</v>
      </c>
      <c r="AO40" s="64"/>
      <c r="AP40" s="64"/>
      <c r="AQ40" s="279"/>
      <c r="AR40" s="280" t="s">
        <v>42</v>
      </c>
      <c r="AS40" s="281">
        <f>D40+R40+AF40</f>
        <v>0</v>
      </c>
      <c r="AT40" s="282">
        <f t="shared" si="25"/>
        <v>0</v>
      </c>
      <c r="AU40" s="283">
        <f t="shared" si="25"/>
        <v>0</v>
      </c>
      <c r="AV40" s="283">
        <f t="shared" si="25"/>
        <v>0</v>
      </c>
      <c r="AW40" s="283">
        <f>K40+Y40+AM40</f>
        <v>0</v>
      </c>
      <c r="AX40" s="284">
        <f t="shared" si="26"/>
        <v>0</v>
      </c>
      <c r="AY40" s="285">
        <f t="shared" si="26"/>
        <v>0</v>
      </c>
      <c r="AZ40" s="286">
        <f>L40+Z40+AN40</f>
        <v>0</v>
      </c>
      <c r="BA40" s="287" t="s">
        <v>284</v>
      </c>
      <c r="BB40" s="288"/>
      <c r="BC40" s="272"/>
      <c r="BD40" s="272"/>
      <c r="BE40" s="272"/>
      <c r="BF40" s="272"/>
      <c r="BG40" s="272"/>
      <c r="BH40" s="272"/>
      <c r="BI40" s="272"/>
      <c r="BJ40" s="272"/>
      <c r="BK40" s="272"/>
      <c r="BL40" s="272"/>
      <c r="BM40" s="272"/>
      <c r="BN40" s="272"/>
      <c r="BO40" s="272"/>
      <c r="BP40" s="272"/>
      <c r="BQ40" s="272"/>
      <c r="BR40" s="272"/>
      <c r="BS40" s="272"/>
      <c r="BT40" s="272"/>
      <c r="BU40" s="272"/>
      <c r="BV40" s="272"/>
      <c r="BW40" s="272"/>
      <c r="BX40" s="272"/>
      <c r="BY40" s="272"/>
      <c r="BZ40" s="272"/>
      <c r="CA40" s="272"/>
      <c r="CB40" s="272"/>
      <c r="CC40" s="272"/>
      <c r="CD40" s="272"/>
      <c r="CE40" s="272"/>
    </row>
    <row r="41" spans="1:83" ht="14.25" hidden="1">
      <c r="A41" s="43"/>
      <c r="B41" s="289" t="s">
        <v>74</v>
      </c>
      <c r="C41" s="290" t="s">
        <v>282</v>
      </c>
      <c r="D41" s="291">
        <f>COUNTIF(C11:C35,"×")</f>
        <v>0</v>
      </c>
      <c r="E41" s="292">
        <f>SUMIF(C11:C35,"×",E11:E35)</f>
        <v>0</v>
      </c>
      <c r="F41" s="65">
        <f>SUMIF(C11:C35,"×",F11:F35)</f>
        <v>0</v>
      </c>
      <c r="G41" s="65">
        <f>SUMIF(C11:C35,"×",G11:G35)</f>
        <v>0</v>
      </c>
      <c r="H41" s="293">
        <f>SUMIF(C11:C35,"×",H11:H35)</f>
        <v>0</v>
      </c>
      <c r="I41" s="294">
        <f>SUMIF(C11:C35,"×",I11:I35)</f>
        <v>0</v>
      </c>
      <c r="J41" s="290" t="s">
        <v>282</v>
      </c>
      <c r="K41" s="65">
        <f>SUMIF(C11:C35,"×",K11:K35)</f>
        <v>0</v>
      </c>
      <c r="L41" s="61">
        <f>COUNTIF(N11:N35,"×有")</f>
        <v>0</v>
      </c>
      <c r="M41" s="64"/>
      <c r="N41" s="64"/>
      <c r="O41" s="279"/>
      <c r="P41" s="289" t="s">
        <v>43</v>
      </c>
      <c r="Q41" s="290" t="s">
        <v>282</v>
      </c>
      <c r="R41" s="291">
        <f>COUNTIF(Q11:Q35,"×")</f>
        <v>0</v>
      </c>
      <c r="S41" s="292">
        <f>SUMIF(Q11:Q35,"×",S11:S35)</f>
        <v>0</v>
      </c>
      <c r="T41" s="65">
        <f>SUMIF(Q11:Q35,"×",T11:T35)</f>
        <v>0</v>
      </c>
      <c r="U41" s="65">
        <f>SUMIF(Q11:Q35,"×",U11:U35)</f>
        <v>0</v>
      </c>
      <c r="V41" s="293">
        <f>SUMIF(Q11:Q35,"×",V11:V35)</f>
        <v>0</v>
      </c>
      <c r="W41" s="294">
        <f>SUMIF(Q11:Q35,"×",W11:W35)</f>
        <v>0</v>
      </c>
      <c r="X41" s="290" t="s">
        <v>282</v>
      </c>
      <c r="Y41" s="65">
        <f>SUMIF(Q11:Q35,"×",Y11:Y35)</f>
        <v>0</v>
      </c>
      <c r="Z41" s="295">
        <f>COUNTIF(AB11:AB35,"×有")</f>
        <v>0</v>
      </c>
      <c r="AA41" s="64"/>
      <c r="AB41" s="64"/>
      <c r="AC41" s="279"/>
      <c r="AD41" s="289" t="s">
        <v>43</v>
      </c>
      <c r="AE41" s="290" t="s">
        <v>282</v>
      </c>
      <c r="AF41" s="291">
        <f>COUNTIF(AE11:AE35,"×")</f>
        <v>0</v>
      </c>
      <c r="AG41" s="292">
        <f>SUMIF(AE11:AE35,"×",AG11:AG35)</f>
        <v>0</v>
      </c>
      <c r="AH41" s="65">
        <f>SUMIF(AE11:AE35,"×",AH11:AH35)</f>
        <v>0</v>
      </c>
      <c r="AI41" s="65">
        <f>SUMIF(AE11:AE35,"×",AI11:AI35)</f>
        <v>0</v>
      </c>
      <c r="AJ41" s="293">
        <f>SUMIF(AE11:AE35,"×",AJ11:AJ35)</f>
        <v>0</v>
      </c>
      <c r="AK41" s="294">
        <f>SUMIF(AE11:AE35,"×",AK11:AK35)</f>
        <v>0</v>
      </c>
      <c r="AL41" s="290" t="s">
        <v>282</v>
      </c>
      <c r="AM41" s="65">
        <f>SUMIF(AE11:AE35,"×",AM11:AM35)</f>
        <v>0</v>
      </c>
      <c r="AN41" s="295">
        <f>COUNTIF(AP11:AP35,"×有")</f>
        <v>0</v>
      </c>
      <c r="AO41" s="64"/>
      <c r="AP41" s="64"/>
      <c r="AQ41" s="279"/>
      <c r="AR41" s="296" t="s">
        <v>74</v>
      </c>
      <c r="AS41" s="297">
        <f>D41+R41+AF41</f>
        <v>0</v>
      </c>
      <c r="AT41" s="298">
        <f t="shared" si="25"/>
        <v>0</v>
      </c>
      <c r="AU41" s="299">
        <f t="shared" si="25"/>
        <v>0</v>
      </c>
      <c r="AV41" s="299">
        <f t="shared" si="25"/>
        <v>0</v>
      </c>
      <c r="AW41" s="299">
        <f>K41+Y41+AM41</f>
        <v>0</v>
      </c>
      <c r="AX41" s="300">
        <f t="shared" si="26"/>
        <v>0</v>
      </c>
      <c r="AY41" s="301">
        <f t="shared" si="26"/>
        <v>0</v>
      </c>
      <c r="AZ41" s="302">
        <f>L41+Z41+AN41</f>
        <v>0</v>
      </c>
      <c r="BA41" s="303" t="s">
        <v>282</v>
      </c>
      <c r="BB41" s="288"/>
      <c r="BC41" s="272"/>
      <c r="BD41" s="272"/>
      <c r="BE41" s="272"/>
      <c r="BF41" s="39"/>
      <c r="BG41" s="39"/>
      <c r="BH41" s="39"/>
      <c r="BI41" s="272"/>
      <c r="BJ41" s="272"/>
      <c r="BK41" s="272"/>
      <c r="BL41" s="272"/>
      <c r="BM41" s="272"/>
      <c r="BN41" s="272"/>
      <c r="BO41" s="272"/>
      <c r="BP41" s="272"/>
      <c r="BQ41" s="272"/>
      <c r="BR41" s="272"/>
      <c r="BS41" s="272"/>
      <c r="BT41" s="272"/>
      <c r="BU41" s="272"/>
      <c r="BV41" s="272"/>
      <c r="BW41" s="272"/>
      <c r="BX41" s="272"/>
      <c r="BY41" s="272"/>
      <c r="BZ41" s="272"/>
      <c r="CA41" s="272"/>
      <c r="CB41" s="272"/>
      <c r="CC41" s="272"/>
      <c r="CD41" s="272"/>
      <c r="CE41" s="272"/>
    </row>
    <row r="42" spans="1:83" ht="27" thickBot="1">
      <c r="A42" s="272"/>
      <c r="B42" s="304"/>
      <c r="C42" s="305"/>
      <c r="D42" s="305"/>
      <c r="E42" s="305"/>
      <c r="F42" s="305"/>
      <c r="G42" s="305"/>
      <c r="H42" s="305"/>
      <c r="I42" s="305"/>
      <c r="J42" s="305"/>
      <c r="K42" s="66"/>
      <c r="L42" s="67"/>
      <c r="M42" s="68"/>
      <c r="N42" s="68"/>
      <c r="O42" s="306"/>
      <c r="P42" s="306"/>
      <c r="Q42" s="307"/>
      <c r="R42" s="307"/>
      <c r="S42" s="307"/>
      <c r="T42" s="307"/>
      <c r="U42" s="307"/>
      <c r="V42" s="307"/>
      <c r="W42" s="307"/>
      <c r="X42" s="307"/>
      <c r="Y42" s="68"/>
      <c r="Z42" s="67"/>
      <c r="AA42" s="68"/>
      <c r="AB42" s="68"/>
      <c r="AC42" s="306"/>
      <c r="AD42" s="306"/>
      <c r="AE42" s="307"/>
      <c r="AF42" s="307"/>
      <c r="AG42" s="307"/>
      <c r="AH42" s="307"/>
      <c r="AI42" s="307"/>
      <c r="AJ42" s="307"/>
      <c r="AK42" s="307"/>
      <c r="AL42" s="307"/>
      <c r="AM42" s="68"/>
      <c r="AN42" s="67"/>
      <c r="AO42" s="68"/>
      <c r="AP42" s="68"/>
      <c r="AQ42" s="306"/>
      <c r="AR42" s="306"/>
      <c r="AS42" s="307"/>
      <c r="AT42" s="307"/>
      <c r="AU42" s="307"/>
      <c r="AV42" s="307"/>
      <c r="AW42" s="307"/>
      <c r="AZ42" s="307"/>
      <c r="BA42" s="307"/>
      <c r="BB42" s="306"/>
      <c r="BC42" s="308" t="s">
        <v>244</v>
      </c>
      <c r="BD42" s="309"/>
      <c r="BE42" s="310"/>
      <c r="BF42" s="309"/>
      <c r="BG42" s="309"/>
      <c r="BH42" s="309"/>
      <c r="BI42" s="309"/>
      <c r="BN42" s="39"/>
      <c r="BO42" s="245"/>
      <c r="BP42" s="245"/>
      <c r="BQ42" s="245"/>
      <c r="BR42" s="245"/>
      <c r="BS42" s="272"/>
      <c r="BT42" s="272"/>
      <c r="BU42" s="272"/>
      <c r="BV42" s="272"/>
      <c r="BW42" s="272"/>
      <c r="BX42" s="272"/>
      <c r="BY42" s="272"/>
      <c r="BZ42" s="272"/>
      <c r="CA42" s="272"/>
      <c r="CB42" s="272"/>
      <c r="CC42" s="272"/>
      <c r="CD42" s="272"/>
      <c r="CE42" s="272"/>
    </row>
    <row r="43" spans="1:83" ht="18" customHeight="1" thickTop="1">
      <c r="A43" s="39"/>
      <c r="B43" s="817" t="s">
        <v>260</v>
      </c>
      <c r="C43" s="556" t="s">
        <v>2</v>
      </c>
      <c r="D43" s="556" t="s">
        <v>37</v>
      </c>
      <c r="E43" s="557" t="s">
        <v>14</v>
      </c>
      <c r="F43" s="558" t="s">
        <v>15</v>
      </c>
      <c r="G43" s="819" t="s">
        <v>5</v>
      </c>
      <c r="H43" s="559"/>
      <c r="I43" s="559"/>
      <c r="J43" s="560"/>
      <c r="K43" s="561"/>
      <c r="L43" s="562"/>
      <c r="M43" s="561"/>
      <c r="N43" s="561"/>
      <c r="O43" s="563"/>
      <c r="P43" s="817" t="s">
        <v>260</v>
      </c>
      <c r="Q43" s="556" t="s">
        <v>2</v>
      </c>
      <c r="R43" s="556" t="s">
        <v>37</v>
      </c>
      <c r="S43" s="557" t="s">
        <v>14</v>
      </c>
      <c r="T43" s="558" t="s">
        <v>15</v>
      </c>
      <c r="U43" s="819" t="s">
        <v>5</v>
      </c>
      <c r="V43" s="559"/>
      <c r="W43" s="559"/>
      <c r="X43" s="560"/>
      <c r="Y43" s="561"/>
      <c r="Z43" s="564"/>
      <c r="AA43" s="564"/>
      <c r="AB43" s="564"/>
      <c r="AC43" s="563"/>
      <c r="AD43" s="817" t="s">
        <v>260</v>
      </c>
      <c r="AE43" s="556" t="s">
        <v>2</v>
      </c>
      <c r="AF43" s="556" t="s">
        <v>37</v>
      </c>
      <c r="AG43" s="557" t="s">
        <v>14</v>
      </c>
      <c r="AH43" s="558" t="s">
        <v>15</v>
      </c>
      <c r="AI43" s="819" t="s">
        <v>5</v>
      </c>
      <c r="AJ43" s="559"/>
      <c r="AK43" s="559"/>
      <c r="AL43" s="560"/>
      <c r="AM43" s="561"/>
      <c r="AN43" s="564"/>
      <c r="AO43" s="564"/>
      <c r="AP43" s="564"/>
      <c r="AQ43" s="563"/>
      <c r="AR43" s="821" t="s">
        <v>260</v>
      </c>
      <c r="AS43" s="556" t="s">
        <v>2</v>
      </c>
      <c r="AT43" s="556" t="s">
        <v>37</v>
      </c>
      <c r="AU43" s="557" t="s">
        <v>14</v>
      </c>
      <c r="AV43" s="558" t="s">
        <v>15</v>
      </c>
      <c r="AW43" s="825" t="s">
        <v>5</v>
      </c>
      <c r="AX43" s="559"/>
      <c r="AY43" s="559"/>
      <c r="AZ43" s="314"/>
      <c r="BA43" s="314"/>
      <c r="BB43" s="39"/>
      <c r="BC43" s="777">
        <f>C4</f>
        <v>0</v>
      </c>
      <c r="BD43" s="777"/>
      <c r="BE43" s="823" t="s">
        <v>141</v>
      </c>
      <c r="BF43" s="824"/>
      <c r="BG43" s="316" t="s">
        <v>2</v>
      </c>
      <c r="BH43" s="317" t="s">
        <v>37</v>
      </c>
      <c r="BI43" s="318" t="s">
        <v>101</v>
      </c>
      <c r="BJ43" s="317" t="s">
        <v>14</v>
      </c>
      <c r="BK43" s="318" t="s">
        <v>15</v>
      </c>
      <c r="BL43" s="815" t="s">
        <v>5</v>
      </c>
      <c r="BM43" s="777" t="s">
        <v>133</v>
      </c>
      <c r="BN43" s="813" t="s">
        <v>132</v>
      </c>
      <c r="BO43" s="317" t="s">
        <v>36</v>
      </c>
      <c r="BP43" s="39"/>
      <c r="BQ43" s="39"/>
      <c r="BR43" s="39"/>
      <c r="BS43" s="39"/>
      <c r="BT43" s="39"/>
      <c r="BU43" s="39"/>
      <c r="BV43" s="39"/>
      <c r="BW43" s="39"/>
      <c r="BX43" s="39"/>
      <c r="BY43" s="39"/>
      <c r="BZ43" s="39"/>
      <c r="CA43" s="39"/>
      <c r="CB43" s="39"/>
      <c r="CC43" s="39"/>
      <c r="CD43" s="39"/>
      <c r="CE43" s="39"/>
    </row>
    <row r="44" spans="1:83" ht="18" customHeight="1">
      <c r="A44" s="39"/>
      <c r="B44" s="818"/>
      <c r="C44" s="566" t="s">
        <v>285</v>
      </c>
      <c r="D44" s="566" t="s">
        <v>286</v>
      </c>
      <c r="E44" s="567" t="s">
        <v>286</v>
      </c>
      <c r="F44" s="568" t="s">
        <v>287</v>
      </c>
      <c r="G44" s="820"/>
      <c r="H44" s="559"/>
      <c r="I44" s="559"/>
      <c r="J44" s="569"/>
      <c r="K44" s="561"/>
      <c r="L44" s="570"/>
      <c r="M44" s="561"/>
      <c r="N44" s="561"/>
      <c r="O44" s="563"/>
      <c r="P44" s="818"/>
      <c r="Q44" s="566" t="s">
        <v>285</v>
      </c>
      <c r="R44" s="566" t="s">
        <v>286</v>
      </c>
      <c r="S44" s="567" t="s">
        <v>286</v>
      </c>
      <c r="T44" s="568" t="s">
        <v>287</v>
      </c>
      <c r="U44" s="820"/>
      <c r="V44" s="559"/>
      <c r="W44" s="559"/>
      <c r="X44" s="569"/>
      <c r="Y44" s="561"/>
      <c r="Z44" s="564"/>
      <c r="AA44" s="564"/>
      <c r="AB44" s="564"/>
      <c r="AC44" s="563"/>
      <c r="AD44" s="818"/>
      <c r="AE44" s="566" t="s">
        <v>285</v>
      </c>
      <c r="AF44" s="566" t="s">
        <v>286</v>
      </c>
      <c r="AG44" s="567" t="s">
        <v>286</v>
      </c>
      <c r="AH44" s="568" t="s">
        <v>287</v>
      </c>
      <c r="AI44" s="820"/>
      <c r="AJ44" s="559"/>
      <c r="AK44" s="559"/>
      <c r="AL44" s="569"/>
      <c r="AM44" s="561"/>
      <c r="AN44" s="564"/>
      <c r="AO44" s="564"/>
      <c r="AP44" s="564"/>
      <c r="AQ44" s="563"/>
      <c r="AR44" s="822"/>
      <c r="AS44" s="566" t="s">
        <v>285</v>
      </c>
      <c r="AT44" s="566" t="s">
        <v>286</v>
      </c>
      <c r="AU44" s="567" t="s">
        <v>286</v>
      </c>
      <c r="AV44" s="568" t="s">
        <v>287</v>
      </c>
      <c r="AW44" s="826"/>
      <c r="AX44" s="559"/>
      <c r="AY44" s="559"/>
      <c r="AZ44" s="322"/>
      <c r="BA44" s="322"/>
      <c r="BB44" s="39"/>
      <c r="BC44" s="777"/>
      <c r="BD44" s="777"/>
      <c r="BE44" s="324" t="s">
        <v>2</v>
      </c>
      <c r="BF44" s="325" t="s">
        <v>37</v>
      </c>
      <c r="BG44" s="326" t="s">
        <v>6</v>
      </c>
      <c r="BH44" s="132" t="s">
        <v>17</v>
      </c>
      <c r="BI44" s="132" t="s">
        <v>28</v>
      </c>
      <c r="BJ44" s="132" t="s">
        <v>17</v>
      </c>
      <c r="BK44" s="132" t="s">
        <v>20</v>
      </c>
      <c r="BL44" s="816"/>
      <c r="BM44" s="812"/>
      <c r="BN44" s="814"/>
      <c r="BO44" s="327" t="s">
        <v>22</v>
      </c>
      <c r="BP44" s="39"/>
      <c r="BQ44" s="39"/>
      <c r="BR44" s="39"/>
      <c r="BS44" s="39"/>
      <c r="BT44" s="39"/>
      <c r="BU44" s="39"/>
      <c r="BV44" s="39"/>
      <c r="BW44" s="39"/>
      <c r="BX44" s="39"/>
      <c r="BY44" s="39"/>
      <c r="BZ44" s="39"/>
      <c r="CA44" s="39"/>
      <c r="CB44" s="39"/>
      <c r="CC44" s="39"/>
      <c r="CD44" s="39"/>
      <c r="CE44" s="39"/>
    </row>
    <row r="45" spans="1:83" ht="18" customHeight="1">
      <c r="A45" s="328"/>
      <c r="B45" s="572" t="s">
        <v>106</v>
      </c>
      <c r="C45" s="573">
        <f>IF(ISERROR(E39/D39),0,(E39/D39))</f>
        <v>0</v>
      </c>
      <c r="D45" s="573">
        <f>IF(ISERROR(F39/L39),0,(F39/L39))</f>
        <v>0</v>
      </c>
      <c r="E45" s="574">
        <f>D45-IF(ISERROR(G39/L39),0,(G39/L39))</f>
        <v>0</v>
      </c>
      <c r="F45" s="575">
        <f>IF(ISERROR(E45/D45),0,(E45/D45))</f>
        <v>0</v>
      </c>
      <c r="G45" s="573">
        <f>IF(ISERROR(D45/C45*100),0,(D45/C45*100))</f>
        <v>0</v>
      </c>
      <c r="H45" s="559"/>
      <c r="I45" s="559"/>
      <c r="J45" s="576"/>
      <c r="K45" s="577"/>
      <c r="L45" s="562"/>
      <c r="M45" s="562"/>
      <c r="N45" s="562"/>
      <c r="O45" s="578"/>
      <c r="P45" s="572" t="s">
        <v>106</v>
      </c>
      <c r="Q45" s="573">
        <f>IF(ISERROR(S39/R39),0,(S39/R39))</f>
        <v>0</v>
      </c>
      <c r="R45" s="573">
        <f>IF(ISERROR(T39/Z39),0,(T39/Z39))</f>
        <v>0</v>
      </c>
      <c r="S45" s="574">
        <f>R45-IF(ISERROR(U39/Z39),0,(U39/Z39))</f>
        <v>0</v>
      </c>
      <c r="T45" s="575">
        <f>IF(ISERROR(S45/R45),0,(S45/R45))</f>
        <v>0</v>
      </c>
      <c r="U45" s="573">
        <f>IF(ISERROR(R45/Q45*100),0,(R45/Q45*100))</f>
        <v>0</v>
      </c>
      <c r="V45" s="559"/>
      <c r="W45" s="559"/>
      <c r="X45" s="576"/>
      <c r="Y45" s="577"/>
      <c r="Z45" s="564"/>
      <c r="AA45" s="564"/>
      <c r="AB45" s="564"/>
      <c r="AC45" s="578"/>
      <c r="AD45" s="572" t="s">
        <v>106</v>
      </c>
      <c r="AE45" s="573">
        <f>IF(ISERROR(AG39/AF39),0,(AG39/AF39))</f>
        <v>0</v>
      </c>
      <c r="AF45" s="573">
        <f>IF(ISERROR(AH39/AN39),0,(AH39/AN39))</f>
        <v>0</v>
      </c>
      <c r="AG45" s="574">
        <f>AF45-IF(ISERROR(AI39/AN39),0,(AI39/AN39))</f>
        <v>0</v>
      </c>
      <c r="AH45" s="575">
        <f>IF(ISERROR(AG45/AF45),0,(AG45/AF45))</f>
        <v>0</v>
      </c>
      <c r="AI45" s="573">
        <f>IF(ISERROR(AF45/AE45*100),0,(AF45/AE45*100))</f>
        <v>0</v>
      </c>
      <c r="AJ45" s="559"/>
      <c r="AK45" s="559"/>
      <c r="AL45" s="576"/>
      <c r="AM45" s="577"/>
      <c r="AN45" s="564"/>
      <c r="AO45" s="564"/>
      <c r="AP45" s="564"/>
      <c r="AQ45" s="578"/>
      <c r="AR45" s="572" t="s">
        <v>106</v>
      </c>
      <c r="AS45" s="573">
        <f>IF(ISERROR(AT39/AS39),0,AT39/AS39)</f>
        <v>0</v>
      </c>
      <c r="AT45" s="573">
        <f>IF(ISERROR(AU39/AZ39),0,AU39/AZ39)</f>
        <v>0</v>
      </c>
      <c r="AU45" s="574">
        <f>IF(ISERROR(AT45-(AV39/AZ39)),0,AT45-(AV39/AZ39))</f>
        <v>0</v>
      </c>
      <c r="AV45" s="575">
        <f>IF(ISERROR(AU45/AT45),0,AU45/AT45)</f>
        <v>0</v>
      </c>
      <c r="AW45" s="573">
        <f>IF(ISERROR(AT45/AS45*100),0,AT45/AS45*100)</f>
        <v>0</v>
      </c>
      <c r="AX45" s="559"/>
      <c r="AY45" s="559"/>
      <c r="AZ45" s="333"/>
      <c r="BA45" s="333"/>
      <c r="BB45" s="328"/>
      <c r="BC45" s="827" t="s">
        <v>75</v>
      </c>
      <c r="BD45" s="828"/>
      <c r="BE45" s="334" t="s">
        <v>23</v>
      </c>
      <c r="BF45" s="335" t="s">
        <v>23</v>
      </c>
      <c r="BG45" s="336">
        <f>CA68*100</f>
        <v>0</v>
      </c>
      <c r="BH45" s="337">
        <f>AT47</f>
        <v>0</v>
      </c>
      <c r="BI45" s="338">
        <f>CB68</f>
        <v>0</v>
      </c>
      <c r="BJ45" s="337">
        <f>BZ68</f>
        <v>0</v>
      </c>
      <c r="BK45" s="339" t="e">
        <f>BJ45/BH45</f>
        <v>#DIV/0!</v>
      </c>
      <c r="BL45" s="340" t="e">
        <f>BY68</f>
        <v>#DIV/0!</v>
      </c>
      <c r="BM45" s="341" t="e">
        <f>(10000/BI45)^(1/2)/BH45</f>
        <v>#DIV/0!</v>
      </c>
      <c r="BN45" s="342">
        <f>BW68</f>
        <v>0</v>
      </c>
      <c r="BO45" s="521" t="e">
        <f>Zaiseki($BC$43,BG45,BH45)*BI45</f>
        <v>#VALUE!</v>
      </c>
      <c r="BP45" s="328"/>
      <c r="BQ45" s="328"/>
      <c r="BR45" s="328"/>
      <c r="BS45" s="328"/>
      <c r="BT45" s="328"/>
      <c r="BU45" s="328"/>
      <c r="BV45" s="328"/>
      <c r="BW45" s="328"/>
      <c r="BX45" s="328"/>
      <c r="BY45" s="328"/>
      <c r="BZ45" s="328"/>
      <c r="CA45" s="328"/>
      <c r="CB45" s="328"/>
      <c r="CC45" s="328"/>
      <c r="CD45" s="328"/>
      <c r="CE45" s="328"/>
    </row>
    <row r="46" spans="1:83" ht="18" customHeight="1" thickBot="1">
      <c r="A46" s="328"/>
      <c r="B46" s="579" t="s">
        <v>107</v>
      </c>
      <c r="C46" s="580">
        <f>IF(ISERROR(E40/D40),0,(E40/D40))</f>
        <v>0</v>
      </c>
      <c r="D46" s="580">
        <f>IF(ISERROR(F40/L40),0,(F40/L40))</f>
        <v>0</v>
      </c>
      <c r="E46" s="581">
        <f>D46-IF(ISERROR(G40/L40),0,(G40/L40))</f>
        <v>0</v>
      </c>
      <c r="F46" s="582">
        <f>IF(ISERROR(E46/D46),0,(E46/D46))</f>
        <v>0</v>
      </c>
      <c r="G46" s="580">
        <f>IF(ISERROR(D46/C46*100),0,(D46/C46*100))</f>
        <v>0</v>
      </c>
      <c r="H46" s="559"/>
      <c r="I46" s="559"/>
      <c r="J46" s="576"/>
      <c r="K46" s="577"/>
      <c r="L46" s="562"/>
      <c r="M46" s="562"/>
      <c r="N46" s="562"/>
      <c r="O46" s="578"/>
      <c r="P46" s="579" t="s">
        <v>107</v>
      </c>
      <c r="Q46" s="580">
        <f>IF(ISERROR(S40/R40),0,(S40/R40))</f>
        <v>0</v>
      </c>
      <c r="R46" s="580">
        <f>IF(ISERROR(T40/Z40),0,(T40/Z40))</f>
        <v>0</v>
      </c>
      <c r="S46" s="581">
        <f>R46-IF(ISERROR(U40/Z40),0,(U40/Z40))</f>
        <v>0</v>
      </c>
      <c r="T46" s="582">
        <f>IF(ISERROR(S46/R46),0,(S46/R46))</f>
        <v>0</v>
      </c>
      <c r="U46" s="580">
        <f>IF(ISERROR(R46/Q46*100),0,(R46/Q46*100))</f>
        <v>0</v>
      </c>
      <c r="V46" s="559"/>
      <c r="W46" s="559"/>
      <c r="X46" s="576"/>
      <c r="Y46" s="577"/>
      <c r="Z46" s="564"/>
      <c r="AA46" s="564"/>
      <c r="AB46" s="564"/>
      <c r="AC46" s="578"/>
      <c r="AD46" s="579" t="s">
        <v>107</v>
      </c>
      <c r="AE46" s="580">
        <f>IF(ISERROR(AG40/AF40),0,(AG40/AF40))</f>
        <v>0</v>
      </c>
      <c r="AF46" s="580">
        <f>IF(ISERROR(AH40/AN40),0,(AH40/AN40))</f>
        <v>0</v>
      </c>
      <c r="AG46" s="581">
        <f>AF46-IF(ISERROR(AI40/AN40),0,(AI40/AN40))</f>
        <v>0</v>
      </c>
      <c r="AH46" s="582">
        <f>IF(ISERROR(AG46/AF46),0,(AG46/AF46))</f>
        <v>0</v>
      </c>
      <c r="AI46" s="580">
        <f>IF(ISERROR(AF46/AE46*100),0,(AF46/AE46*100))</f>
        <v>0</v>
      </c>
      <c r="AJ46" s="559"/>
      <c r="AK46" s="559"/>
      <c r="AL46" s="576"/>
      <c r="AM46" s="577"/>
      <c r="AN46" s="564"/>
      <c r="AO46" s="564"/>
      <c r="AP46" s="564"/>
      <c r="AQ46" s="578"/>
      <c r="AR46" s="579" t="s">
        <v>107</v>
      </c>
      <c r="AS46" s="580">
        <f>IF(ISERROR(AT40/AS40),0,AT40/AS40)</f>
        <v>0</v>
      </c>
      <c r="AT46" s="580">
        <f>IF(ISERROR(AU40/AZ40),0,AU40/AZ40)</f>
        <v>0</v>
      </c>
      <c r="AU46" s="581">
        <f>IF(ISERROR(AT46-(AV40/AZ40)),0,AT46-(AV40/AZ40))</f>
        <v>0</v>
      </c>
      <c r="AV46" s="582">
        <f>IF(ISERROR(AU46/AT46),0,AU46/AT46)</f>
        <v>0</v>
      </c>
      <c r="AW46" s="580">
        <f>IF(ISERROR(AT46/AS46*100),0,AT46/AS46*100)</f>
        <v>0</v>
      </c>
      <c r="AX46" s="559"/>
      <c r="AY46" s="559"/>
      <c r="AZ46" s="333"/>
      <c r="BA46" s="347"/>
      <c r="BB46" s="328"/>
      <c r="BC46" s="827" t="s">
        <v>68</v>
      </c>
      <c r="BD46" s="828"/>
      <c r="BE46" s="334" t="s">
        <v>23</v>
      </c>
      <c r="BF46" s="335" t="s">
        <v>23</v>
      </c>
      <c r="BG46" s="336">
        <f>CA69*100</f>
        <v>0</v>
      </c>
      <c r="BH46" s="337">
        <f>AT49</f>
        <v>0</v>
      </c>
      <c r="BI46" s="348">
        <f>CB69</f>
        <v>0</v>
      </c>
      <c r="BJ46" s="337">
        <f>BZ69</f>
        <v>0</v>
      </c>
      <c r="BK46" s="339" t="e">
        <f>BJ46/BH46</f>
        <v>#DIV/0!</v>
      </c>
      <c r="BL46" s="340" t="e">
        <f>BY69</f>
        <v>#DIV/0!</v>
      </c>
      <c r="BM46" s="341" t="e">
        <f>(10000/BI46)^(1/2)/BH46</f>
        <v>#DIV/0!</v>
      </c>
      <c r="BN46" s="349">
        <f>BW69</f>
        <v>0</v>
      </c>
      <c r="BO46" s="521" t="e">
        <f>Zaiseki($BC$43,BG46,BH46)*BI46</f>
        <v>#VALUE!</v>
      </c>
      <c r="BP46" s="513"/>
      <c r="BQ46" s="328"/>
      <c r="BR46" s="328"/>
      <c r="BS46" s="328"/>
      <c r="BT46" s="328"/>
      <c r="BU46" s="328"/>
      <c r="BV46" s="328"/>
      <c r="BW46" s="328"/>
      <c r="BX46" s="328"/>
      <c r="BY46" s="328"/>
      <c r="BZ46" s="328"/>
      <c r="CA46" s="328"/>
      <c r="CB46" s="328"/>
      <c r="CC46" s="328"/>
      <c r="CD46" s="328"/>
      <c r="CE46" s="328"/>
    </row>
    <row r="47" spans="1:83" ht="18" customHeight="1">
      <c r="A47" s="245"/>
      <c r="B47" s="583" t="s">
        <v>75</v>
      </c>
      <c r="C47" s="584">
        <f>E37</f>
        <v>0</v>
      </c>
      <c r="D47" s="584">
        <f>F37</f>
        <v>0</v>
      </c>
      <c r="E47" s="585">
        <f>F37-G37</f>
        <v>0</v>
      </c>
      <c r="F47" s="586">
        <f>IF(ISERROR(E47/D47),0,(E47/D47))</f>
        <v>0</v>
      </c>
      <c r="G47" s="587">
        <f>IF(ISERROR(D47/C47*100),0,(D47/C47*100))</f>
        <v>0</v>
      </c>
      <c r="H47" s="559"/>
      <c r="I47" s="559"/>
      <c r="J47" s="560"/>
      <c r="K47" s="588"/>
      <c r="L47" s="562"/>
      <c r="M47" s="588"/>
      <c r="N47" s="588"/>
      <c r="O47" s="589"/>
      <c r="P47" s="583" t="s">
        <v>75</v>
      </c>
      <c r="Q47" s="584">
        <f>S37</f>
        <v>0</v>
      </c>
      <c r="R47" s="584">
        <f>T37</f>
        <v>0</v>
      </c>
      <c r="S47" s="585">
        <f>T37-U37</f>
        <v>0</v>
      </c>
      <c r="T47" s="590">
        <f>IF(ISERROR(S47/R47),0,(S47/R47))</f>
        <v>0</v>
      </c>
      <c r="U47" s="587">
        <f>IF(ISERROR(R47/Q47*100),0,(R47/Q47*100))</f>
        <v>0</v>
      </c>
      <c r="V47" s="559"/>
      <c r="W47" s="559"/>
      <c r="X47" s="560"/>
      <c r="Y47" s="588"/>
      <c r="Z47" s="564"/>
      <c r="AA47" s="564"/>
      <c r="AB47" s="564"/>
      <c r="AC47" s="589"/>
      <c r="AD47" s="583" t="s">
        <v>75</v>
      </c>
      <c r="AE47" s="584">
        <f>AG37</f>
        <v>0</v>
      </c>
      <c r="AF47" s="584">
        <f>AH37</f>
        <v>0</v>
      </c>
      <c r="AG47" s="585">
        <f>AH37-AI37</f>
        <v>0</v>
      </c>
      <c r="AH47" s="590">
        <f>IF(ISERROR(AG47/AF47),0,(AG47/AF47))</f>
        <v>0</v>
      </c>
      <c r="AI47" s="587">
        <f>IF(ISERROR(AF47/AE47*100),0,(AF47/AE47*100))</f>
        <v>0</v>
      </c>
      <c r="AJ47" s="559"/>
      <c r="AK47" s="559"/>
      <c r="AL47" s="560"/>
      <c r="AM47" s="588"/>
      <c r="AN47" s="564"/>
      <c r="AO47" s="564"/>
      <c r="AP47" s="564"/>
      <c r="AQ47" s="589"/>
      <c r="AR47" s="591" t="s">
        <v>75</v>
      </c>
      <c r="AS47" s="584">
        <f>AT37</f>
        <v>0</v>
      </c>
      <c r="AT47" s="584">
        <f>AU37</f>
        <v>0</v>
      </c>
      <c r="AU47" s="592">
        <f>AU37-AV37</f>
        <v>0</v>
      </c>
      <c r="AV47" s="593">
        <f>IF(ISERROR(AU47/AT47),0,AU47/AT47)</f>
        <v>0</v>
      </c>
      <c r="AW47" s="594" t="e">
        <f>AT47/AS47*100</f>
        <v>#DIV/0!</v>
      </c>
      <c r="AX47" s="559"/>
      <c r="AY47" s="559"/>
      <c r="AZ47" s="314"/>
      <c r="BA47" s="314"/>
      <c r="BB47" s="245"/>
      <c r="BC47" s="840" t="s">
        <v>163</v>
      </c>
      <c r="BD47" s="840"/>
      <c r="BE47" s="537">
        <v>7</v>
      </c>
      <c r="BF47" s="703">
        <v>1</v>
      </c>
      <c r="BG47" s="359">
        <f>BG46+BE47</f>
        <v>7</v>
      </c>
      <c r="BH47" s="360">
        <f>BH46+BF47</f>
        <v>1</v>
      </c>
      <c r="BI47" s="361">
        <f>BI46</f>
        <v>0</v>
      </c>
      <c r="BJ47" s="360">
        <f>BJ46+BF47</f>
        <v>1</v>
      </c>
      <c r="BK47" s="339">
        <f>BJ47/BH47</f>
        <v>1</v>
      </c>
      <c r="BL47" s="362">
        <f>BH47/BG47*100</f>
        <v>14.285714285714285</v>
      </c>
      <c r="BM47" s="341" t="e">
        <f>(10000/BI47)^(1/2)/BH47</f>
        <v>#DIV/0!</v>
      </c>
      <c r="BN47" s="363">
        <f>(BG47/100/2)^2*PI()*BI47</f>
        <v>0</v>
      </c>
      <c r="BO47" s="521">
        <f>Zaiseki($BC$43,BG47,BH47)*BI47</f>
        <v>0</v>
      </c>
      <c r="BP47" s="514"/>
      <c r="BQ47" s="245"/>
      <c r="BR47" s="245"/>
      <c r="BS47" s="245"/>
      <c r="BT47" s="245"/>
      <c r="BU47" s="245"/>
      <c r="BV47" s="245"/>
      <c r="BW47" s="245"/>
      <c r="BX47" s="245"/>
      <c r="BY47" s="245"/>
      <c r="BZ47" s="245"/>
      <c r="CA47" s="245"/>
      <c r="CB47" s="245"/>
      <c r="CC47" s="245"/>
      <c r="CD47" s="245"/>
      <c r="CE47" s="245"/>
    </row>
    <row r="48" spans="1:83" ht="18" customHeight="1">
      <c r="A48" s="245"/>
      <c r="B48" s="595" t="s">
        <v>134</v>
      </c>
      <c r="C48" s="596">
        <f>IF(ISERROR(E41/C36),0,(E41/C36))</f>
        <v>0</v>
      </c>
      <c r="D48" s="596">
        <f>IF(ISERROR(F41/L41),0,(F41/L41))</f>
        <v>0</v>
      </c>
      <c r="E48" s="597">
        <f>D48-IF(ISERROR(G41/L41),0,(G41/L41))</f>
        <v>0</v>
      </c>
      <c r="F48" s="598">
        <f>IF(ISERROR(E48/D48),0,(E48/D48))</f>
        <v>0</v>
      </c>
      <c r="G48" s="599">
        <f>IF(ISERROR(D48/C48*100),0,(D48/C48*100))</f>
        <v>0</v>
      </c>
      <c r="H48" s="559"/>
      <c r="I48" s="559"/>
      <c r="J48" s="560"/>
      <c r="K48" s="588"/>
      <c r="L48" s="562"/>
      <c r="M48" s="588"/>
      <c r="N48" s="588"/>
      <c r="O48" s="589"/>
      <c r="P48" s="595" t="s">
        <v>134</v>
      </c>
      <c r="Q48" s="596">
        <f>IF(ISERROR(S41/Q36),0,(S41/Q36))</f>
        <v>0</v>
      </c>
      <c r="R48" s="596">
        <f>IF(ISERROR(T41/Z41),0,(T41/Z41))</f>
        <v>0</v>
      </c>
      <c r="S48" s="597">
        <f>R48-IF(ISERROR(U41/Z41),0,(U41/Z41))</f>
        <v>0</v>
      </c>
      <c r="T48" s="600">
        <f>IF(ISERROR(S48/R48),0,(S48/R48))</f>
        <v>0</v>
      </c>
      <c r="U48" s="599">
        <f>IF(ISERROR(R48/Q48*100),0,(R48/Q48*100))</f>
        <v>0</v>
      </c>
      <c r="V48" s="559"/>
      <c r="W48" s="559"/>
      <c r="X48" s="560"/>
      <c r="Y48" s="588"/>
      <c r="Z48" s="564"/>
      <c r="AA48" s="564"/>
      <c r="AB48" s="564"/>
      <c r="AC48" s="589"/>
      <c r="AD48" s="595" t="s">
        <v>134</v>
      </c>
      <c r="AE48" s="596">
        <f>IF(ISERROR(AG41/AE36),0,(AG41/AE36))</f>
        <v>0</v>
      </c>
      <c r="AF48" s="596">
        <f>IF(ISERROR(AH41/AN41),0,(AH41/AN41))</f>
        <v>0</v>
      </c>
      <c r="AG48" s="597">
        <f>AF48-IF(ISERROR(AI41/AN41),0,(AI41/AN41))</f>
        <v>0</v>
      </c>
      <c r="AH48" s="600">
        <f>IF(ISERROR(AG48/AF48),0,(AG48/AF48))</f>
        <v>0</v>
      </c>
      <c r="AI48" s="599">
        <f>IF(ISERROR(AF48/AE48*100),0,(AF48/AE48*100))</f>
        <v>0</v>
      </c>
      <c r="AJ48" s="559"/>
      <c r="AK48" s="559"/>
      <c r="AL48" s="560"/>
      <c r="AM48" s="588"/>
      <c r="AN48" s="564"/>
      <c r="AO48" s="564"/>
      <c r="AP48" s="564"/>
      <c r="AQ48" s="589"/>
      <c r="AR48" s="601" t="s">
        <v>134</v>
      </c>
      <c r="AS48" s="602">
        <f>IF(ISERROR(AT41/AS41),0,(AT41/AS41))</f>
        <v>0</v>
      </c>
      <c r="AT48" s="602">
        <f>IF(ISERROR(AU41/AZ41),0,(AU41/AZ41))</f>
        <v>0</v>
      </c>
      <c r="AU48" s="603">
        <f>IF(ISERROR(AT48-(AV41/AZ41)),0,(AT48-(AV41/AZ41)))</f>
        <v>0</v>
      </c>
      <c r="AV48" s="604">
        <f>IF(ISERROR(AU48/AT48),0,(AU48/AT48))</f>
        <v>0</v>
      </c>
      <c r="AW48" s="605">
        <f>IF(ISERROR(AT48/AS48*100),0,(AT48/AS48*100))</f>
        <v>0</v>
      </c>
      <c r="AX48" s="559"/>
      <c r="AY48" s="559"/>
      <c r="AZ48" s="314"/>
      <c r="BA48" s="314"/>
      <c r="BB48" s="245"/>
      <c r="BC48" s="829" t="s">
        <v>164</v>
      </c>
      <c r="BD48" s="829"/>
      <c r="BE48" s="537"/>
      <c r="BF48" s="538"/>
      <c r="BG48" s="359">
        <f>BG47+BE48</f>
        <v>7</v>
      </c>
      <c r="BH48" s="360">
        <f>BH47+BF48</f>
        <v>1</v>
      </c>
      <c r="BI48" s="361">
        <f>BI47*(1-BF37)</f>
        <v>0</v>
      </c>
      <c r="BJ48" s="360">
        <f>BJ47+BF48</f>
        <v>1</v>
      </c>
      <c r="BK48" s="339">
        <f>BJ48/BH48</f>
        <v>1</v>
      </c>
      <c r="BL48" s="362">
        <f>BH48/BG48*100</f>
        <v>14.285714285714285</v>
      </c>
      <c r="BM48" s="341" t="e">
        <f>(10000/BI48)^(1/2)/BH48</f>
        <v>#DIV/0!</v>
      </c>
      <c r="BN48" s="363">
        <f>(BG48/100/2)^2*PI()*BI48</f>
        <v>0</v>
      </c>
      <c r="BO48" s="521">
        <f>Zaiseki($BC$43,BG48,BH48)*BI48</f>
        <v>0</v>
      </c>
      <c r="BP48" s="514"/>
      <c r="BQ48" s="245"/>
      <c r="BR48" s="245"/>
      <c r="BS48" s="245"/>
      <c r="BT48" s="245"/>
      <c r="BU48" s="245"/>
      <c r="BV48" s="245"/>
      <c r="BW48" s="245"/>
      <c r="BX48" s="245"/>
      <c r="BY48" s="245"/>
      <c r="BZ48" s="245"/>
      <c r="CA48" s="245"/>
      <c r="CB48" s="245"/>
      <c r="CC48" s="245"/>
      <c r="CD48" s="245"/>
      <c r="CE48" s="245"/>
    </row>
    <row r="49" spans="1:83" ht="18" customHeight="1" thickBot="1">
      <c r="A49" s="245"/>
      <c r="B49" s="606" t="s">
        <v>68</v>
      </c>
      <c r="C49" s="607">
        <f>IF(ISERROR((E36-E41)/(D36-D41)),0,(E36-E41)/(D36-D41))</f>
        <v>0</v>
      </c>
      <c r="D49" s="608">
        <f>IF(ISERROR((F36-F41)/(L37-L41)),0,((F36-F41)/(L37-L41)))</f>
        <v>0</v>
      </c>
      <c r="E49" s="609">
        <f>D49-IF(ISERROR((G36-G41)/(L37-L41)),0,((G36-G41)/(L37-L41)))</f>
        <v>0</v>
      </c>
      <c r="F49" s="610">
        <f>IF(ISERROR(E49/D49),0,(E49/D49))</f>
        <v>0</v>
      </c>
      <c r="G49" s="611">
        <f>IF(ISERROR(D49/C49*100),0,(D49/C49*100))</f>
        <v>0</v>
      </c>
      <c r="H49" s="559"/>
      <c r="I49" s="559"/>
      <c r="J49" s="560"/>
      <c r="K49" s="588"/>
      <c r="L49" s="562"/>
      <c r="M49" s="588"/>
      <c r="N49" s="588"/>
      <c r="O49" s="589"/>
      <c r="P49" s="606" t="s">
        <v>68</v>
      </c>
      <c r="Q49" s="607">
        <f>IF(ISERROR((S36-S41)/(R36-R41)),0,(S36-S41)/(R36-R41))</f>
        <v>0</v>
      </c>
      <c r="R49" s="608">
        <f>IF(ISERROR((T36-T41)/(Z37-Z41)),0,((T36-T41)/(Z37-Z41)))</f>
        <v>0</v>
      </c>
      <c r="S49" s="609">
        <f>R49-IF(ISERROR((U36-U41)/(Z37-Z41)),0,((U36-U41)/(Z37-Z41)))</f>
        <v>0</v>
      </c>
      <c r="T49" s="610">
        <f>IF(ISERROR(S49/R49),0,(S49/R49))</f>
        <v>0</v>
      </c>
      <c r="U49" s="611">
        <f>IF(ISERROR(R49/Q49*100),0,(R49/Q49*100))</f>
        <v>0</v>
      </c>
      <c r="V49" s="559"/>
      <c r="W49" s="559"/>
      <c r="X49" s="560"/>
      <c r="Y49" s="588"/>
      <c r="Z49" s="564"/>
      <c r="AA49" s="564"/>
      <c r="AB49" s="564"/>
      <c r="AC49" s="589"/>
      <c r="AD49" s="606" t="s">
        <v>68</v>
      </c>
      <c r="AE49" s="607">
        <f>IF(ISERROR((AG36-AG41)/(AF36-AF41)),0,(AG36-AG41)/(AF36-AF41))</f>
        <v>0</v>
      </c>
      <c r="AF49" s="608">
        <f>IF(ISERROR((AH36-AH41)/(AN37-AN41)),0,((AH36-AH41)/(AN37-AN41)))</f>
        <v>0</v>
      </c>
      <c r="AG49" s="609">
        <f>AF49-IF(ISERROR((AI36-AI41)/(AN37-AN41)),0,((AI36-AI41)/(AN37-AN41)))</f>
        <v>0</v>
      </c>
      <c r="AH49" s="610">
        <f>IF(ISERROR(AG49/AF49),0,(AG49/AF49))</f>
        <v>0</v>
      </c>
      <c r="AI49" s="611">
        <f>IF(ISERROR(AF49/AE49*100),0,(AF49/AE49*100))</f>
        <v>0</v>
      </c>
      <c r="AJ49" s="559"/>
      <c r="AK49" s="559"/>
      <c r="AL49" s="560"/>
      <c r="AM49" s="588"/>
      <c r="AN49" s="564"/>
      <c r="AO49" s="564"/>
      <c r="AP49" s="564"/>
      <c r="AQ49" s="589"/>
      <c r="AR49" s="612" t="s">
        <v>68</v>
      </c>
      <c r="AS49" s="613">
        <f>IF(ISERROR((AT36-AT41)/(AS36-AS41)),0,((AT36-AT41)/(AS36-AS41)))</f>
        <v>0</v>
      </c>
      <c r="AT49" s="613">
        <f>IF(ISERROR((AU36-AU41)/(AZ36-AZ41)),0,(AU36-AU41)/(AZ36-AZ41))</f>
        <v>0</v>
      </c>
      <c r="AU49" s="614">
        <f>IF(ISERROR(AT49-(AV36-AV41)/(AZ36-AZ41)),0,AT49-(AV36-AV41)/(AZ36-AZ41))</f>
        <v>0</v>
      </c>
      <c r="AV49" s="615">
        <f>IF(ISERROR(AU49/AT49),0,AU49/AT49)</f>
        <v>0</v>
      </c>
      <c r="AW49" s="616" t="e">
        <f>AT49/AS49*100</f>
        <v>#DIV/0!</v>
      </c>
      <c r="AX49" s="559"/>
      <c r="AY49" s="559"/>
      <c r="AZ49" s="314"/>
      <c r="BA49" s="314"/>
      <c r="BB49" s="245"/>
      <c r="BC49" s="245"/>
      <c r="BD49" s="245"/>
      <c r="BE49" s="245"/>
      <c r="BF49" s="245"/>
      <c r="BG49" s="245"/>
      <c r="BH49" s="245"/>
      <c r="BI49" s="245"/>
      <c r="BJ49" s="245"/>
      <c r="BK49" s="245"/>
      <c r="BL49" s="245"/>
      <c r="BM49" s="245"/>
      <c r="BN49" s="245"/>
      <c r="BO49" s="245"/>
      <c r="BP49" s="245"/>
      <c r="BQ49" s="245"/>
      <c r="BR49" s="245"/>
      <c r="BS49" s="245"/>
      <c r="BT49" s="245"/>
      <c r="BU49" s="245"/>
      <c r="BV49" s="245"/>
      <c r="BW49" s="245"/>
      <c r="BX49" s="245"/>
      <c r="BY49" s="245"/>
      <c r="BZ49" s="245"/>
      <c r="CA49" s="245"/>
      <c r="CB49" s="245"/>
      <c r="CC49" s="385"/>
      <c r="CD49" s="385"/>
      <c r="CE49" s="385"/>
    </row>
    <row r="50" spans="1:83" ht="18" customHeight="1">
      <c r="A50" s="245"/>
      <c r="B50" s="830" t="s">
        <v>258</v>
      </c>
      <c r="C50" s="617">
        <f>$AS$50</f>
        <v>0</v>
      </c>
      <c r="D50" s="832" t="s">
        <v>282</v>
      </c>
      <c r="E50" s="618">
        <f>D$49*F$50</f>
        <v>0</v>
      </c>
      <c r="F50" s="619">
        <v>0.38</v>
      </c>
      <c r="G50" s="620">
        <f>$BK$18</f>
        <v>57</v>
      </c>
      <c r="H50" s="559"/>
      <c r="I50" s="559"/>
      <c r="J50" s="560"/>
      <c r="K50" s="588"/>
      <c r="L50" s="562"/>
      <c r="M50" s="588"/>
      <c r="N50" s="588"/>
      <c r="O50" s="589"/>
      <c r="P50" s="830" t="s">
        <v>258</v>
      </c>
      <c r="Q50" s="617">
        <f>$AS$50</f>
        <v>0</v>
      </c>
      <c r="R50" s="832" t="s">
        <v>282</v>
      </c>
      <c r="S50" s="618">
        <f>R$49*T$50</f>
        <v>0</v>
      </c>
      <c r="T50" s="619">
        <v>0.38</v>
      </c>
      <c r="U50" s="620">
        <f>$BK$18</f>
        <v>57</v>
      </c>
      <c r="V50" s="559"/>
      <c r="W50" s="559"/>
      <c r="X50" s="560"/>
      <c r="Y50" s="588"/>
      <c r="Z50" s="564"/>
      <c r="AA50" s="564"/>
      <c r="AB50" s="564"/>
      <c r="AC50" s="589"/>
      <c r="AD50" s="830" t="s">
        <v>258</v>
      </c>
      <c r="AE50" s="617">
        <f>$AS$50</f>
        <v>0</v>
      </c>
      <c r="AF50" s="832" t="s">
        <v>282</v>
      </c>
      <c r="AG50" s="618">
        <f>AF$49*AH$50</f>
        <v>0</v>
      </c>
      <c r="AH50" s="619">
        <v>0.38</v>
      </c>
      <c r="AI50" s="620">
        <f>$BK$18</f>
        <v>57</v>
      </c>
      <c r="AJ50" s="559"/>
      <c r="AK50" s="559"/>
      <c r="AL50" s="560"/>
      <c r="AM50" s="588"/>
      <c r="AN50" s="564"/>
      <c r="AO50" s="564"/>
      <c r="AP50" s="564"/>
      <c r="AQ50" s="589"/>
      <c r="AR50" s="830" t="s">
        <v>258</v>
      </c>
      <c r="AS50" s="617">
        <f>BJ18*100</f>
        <v>0</v>
      </c>
      <c r="AT50" s="832" t="s">
        <v>282</v>
      </c>
      <c r="AU50" s="618">
        <f>AT$49*AV$50</f>
        <v>0</v>
      </c>
      <c r="AV50" s="621">
        <v>0.38</v>
      </c>
      <c r="AW50" s="622">
        <f>$BK$18</f>
        <v>57</v>
      </c>
      <c r="AX50" s="559"/>
      <c r="AY50" s="559"/>
      <c r="AZ50" s="314"/>
      <c r="BA50" s="314"/>
      <c r="BB50" s="245"/>
      <c r="BC50" s="245"/>
      <c r="BD50" s="245"/>
      <c r="BE50" s="245"/>
      <c r="BF50" s="245"/>
      <c r="BG50" s="245"/>
      <c r="BH50" s="245"/>
      <c r="BI50" s="245"/>
      <c r="BJ50" s="245"/>
      <c r="BK50" s="245"/>
      <c r="BL50" s="245"/>
      <c r="BM50" s="245"/>
      <c r="BN50" s="245"/>
      <c r="BO50" s="515"/>
      <c r="BP50" s="245"/>
      <c r="BQ50" s="245"/>
      <c r="BR50" s="245"/>
      <c r="BS50" s="245"/>
      <c r="BT50" s="245"/>
      <c r="BU50" s="245"/>
      <c r="BV50" s="245"/>
      <c r="BW50" s="245"/>
      <c r="BX50" s="245"/>
      <c r="BY50" s="245"/>
      <c r="BZ50" s="245"/>
      <c r="CA50" s="245"/>
      <c r="CB50" s="245"/>
      <c r="CC50" s="385"/>
      <c r="CD50" s="385"/>
      <c r="CE50" s="385"/>
    </row>
    <row r="51" spans="1:83" ht="18" customHeight="1" thickBot="1">
      <c r="A51" s="245"/>
      <c r="B51" s="831"/>
      <c r="C51" s="623">
        <f>$AS$51</f>
        <v>0</v>
      </c>
      <c r="D51" s="833"/>
      <c r="E51" s="624">
        <f>D$49*F$51</f>
        <v>0</v>
      </c>
      <c r="F51" s="625">
        <v>0.62</v>
      </c>
      <c r="G51" s="626">
        <f>$BK$17</f>
        <v>93</v>
      </c>
      <c r="H51" s="559"/>
      <c r="I51" s="559"/>
      <c r="J51" s="560"/>
      <c r="K51" s="588"/>
      <c r="L51" s="562"/>
      <c r="M51" s="588"/>
      <c r="N51" s="588"/>
      <c r="O51" s="589"/>
      <c r="P51" s="831"/>
      <c r="Q51" s="623">
        <f>$AS$51</f>
        <v>0</v>
      </c>
      <c r="R51" s="833"/>
      <c r="S51" s="624">
        <f>R$49*T$51</f>
        <v>0</v>
      </c>
      <c r="T51" s="625">
        <v>0.62</v>
      </c>
      <c r="U51" s="626">
        <f>$BK$17</f>
        <v>93</v>
      </c>
      <c r="V51" s="559"/>
      <c r="W51" s="559"/>
      <c r="X51" s="560"/>
      <c r="Y51" s="588"/>
      <c r="Z51" s="564"/>
      <c r="AA51" s="564"/>
      <c r="AB51" s="564"/>
      <c r="AC51" s="589"/>
      <c r="AD51" s="831"/>
      <c r="AE51" s="623">
        <f>$AS$51</f>
        <v>0</v>
      </c>
      <c r="AF51" s="833"/>
      <c r="AG51" s="624">
        <f>AF$49*AH$51</f>
        <v>0</v>
      </c>
      <c r="AH51" s="625">
        <v>0.62</v>
      </c>
      <c r="AI51" s="626">
        <f>$BK$17</f>
        <v>93</v>
      </c>
      <c r="AJ51" s="559"/>
      <c r="AK51" s="559"/>
      <c r="AL51" s="560"/>
      <c r="AM51" s="588"/>
      <c r="AN51" s="564"/>
      <c r="AO51" s="564"/>
      <c r="AP51" s="564"/>
      <c r="AQ51" s="589"/>
      <c r="AR51" s="831"/>
      <c r="AS51" s="623">
        <f>BJ17*100</f>
        <v>0</v>
      </c>
      <c r="AT51" s="833"/>
      <c r="AU51" s="624">
        <f>AT$49*AV$51</f>
        <v>0</v>
      </c>
      <c r="AV51" s="627">
        <v>0.62</v>
      </c>
      <c r="AW51" s="626">
        <f>$BK$17</f>
        <v>93</v>
      </c>
      <c r="AX51" s="559"/>
      <c r="AY51" s="559"/>
      <c r="AZ51" s="396"/>
      <c r="BA51" s="245"/>
      <c r="BB51" s="245"/>
      <c r="BC51" s="245"/>
      <c r="BD51" s="245"/>
      <c r="BE51" s="245"/>
      <c r="BF51" s="245"/>
      <c r="BG51" s="245"/>
      <c r="BH51" s="245"/>
      <c r="BI51" s="245"/>
      <c r="BJ51" s="245"/>
      <c r="BK51" s="245"/>
      <c r="BL51" s="245"/>
      <c r="BM51" s="245"/>
      <c r="BN51" s="245"/>
      <c r="BO51" s="245"/>
      <c r="BP51" s="245"/>
      <c r="BQ51" s="245"/>
      <c r="BR51" s="245"/>
      <c r="BS51" s="201"/>
      <c r="BT51" s="201"/>
      <c r="BU51" s="245"/>
      <c r="BV51" s="245"/>
      <c r="BW51" s="245"/>
      <c r="BX51" s="245"/>
      <c r="BY51" s="245"/>
      <c r="BZ51" s="245"/>
      <c r="CA51" s="245"/>
      <c r="CB51" s="245"/>
      <c r="CC51" s="201"/>
      <c r="CD51" s="201"/>
      <c r="CE51" s="201"/>
    </row>
    <row r="52" spans="1:83" ht="18" customHeight="1" thickBot="1">
      <c r="A52" s="201"/>
      <c r="B52" s="628"/>
      <c r="C52" s="629"/>
      <c r="D52" s="629"/>
      <c r="E52" s="629"/>
      <c r="F52" s="629"/>
      <c r="G52" s="630"/>
      <c r="H52" s="629"/>
      <c r="I52" s="631"/>
      <c r="J52" s="560"/>
      <c r="K52" s="632"/>
      <c r="L52" s="564"/>
      <c r="M52" s="564"/>
      <c r="N52" s="564"/>
      <c r="O52" s="628"/>
      <c r="P52" s="628"/>
      <c r="Q52" s="629"/>
      <c r="R52" s="629"/>
      <c r="S52" s="629"/>
      <c r="T52" s="629"/>
      <c r="U52" s="630"/>
      <c r="V52" s="629"/>
      <c r="W52" s="631"/>
      <c r="X52" s="560"/>
      <c r="Y52" s="632"/>
      <c r="Z52" s="564"/>
      <c r="AA52" s="564"/>
      <c r="AB52" s="564"/>
      <c r="AC52" s="628"/>
      <c r="AD52" s="628"/>
      <c r="AE52" s="629"/>
      <c r="AF52" s="629"/>
      <c r="AG52" s="629"/>
      <c r="AH52" s="629"/>
      <c r="AI52" s="630"/>
      <c r="AJ52" s="629"/>
      <c r="AK52" s="631"/>
      <c r="AL52" s="560"/>
      <c r="AM52" s="632"/>
      <c r="AN52" s="564"/>
      <c r="AO52" s="564"/>
      <c r="AP52" s="564"/>
      <c r="AQ52" s="628"/>
      <c r="AR52" s="628"/>
      <c r="AS52" s="629"/>
      <c r="AT52" s="629"/>
      <c r="AU52" s="629"/>
      <c r="AV52" s="629"/>
      <c r="AW52" s="630"/>
      <c r="AX52" s="629"/>
      <c r="AY52" s="631"/>
      <c r="AZ52" s="314"/>
      <c r="BA52" s="314"/>
      <c r="BB52" s="201"/>
      <c r="BC52" s="245"/>
      <c r="BD52" s="245"/>
      <c r="BE52" s="245"/>
      <c r="BF52" s="245"/>
      <c r="BG52" s="245"/>
      <c r="BH52" s="245"/>
      <c r="BI52" s="245"/>
      <c r="BJ52" s="245"/>
      <c r="BK52" s="328"/>
      <c r="BL52" s="328"/>
      <c r="BM52" s="328"/>
      <c r="BN52" s="328"/>
      <c r="BP52" s="201"/>
      <c r="BQ52" s="201"/>
      <c r="BR52" s="201"/>
      <c r="BS52" s="39"/>
      <c r="BT52" s="39"/>
      <c r="BU52" s="201"/>
      <c r="BV52" s="201"/>
      <c r="BW52" s="201"/>
      <c r="BX52" s="201"/>
      <c r="BY52" s="201"/>
      <c r="BZ52" s="201"/>
      <c r="CA52" s="201"/>
      <c r="CB52" s="201"/>
      <c r="CC52" s="400"/>
      <c r="CD52" s="39"/>
      <c r="CE52" s="39"/>
    </row>
    <row r="53" spans="1:83" ht="18" customHeight="1">
      <c r="A53" s="39"/>
      <c r="B53" s="565" t="s">
        <v>29</v>
      </c>
      <c r="C53" s="834" t="s">
        <v>101</v>
      </c>
      <c r="D53" s="835"/>
      <c r="E53" s="836" t="s">
        <v>35</v>
      </c>
      <c r="F53" s="837"/>
      <c r="G53" s="565" t="s">
        <v>97</v>
      </c>
      <c r="H53" s="838" t="s">
        <v>36</v>
      </c>
      <c r="I53" s="839"/>
      <c r="J53" s="560"/>
      <c r="K53" s="633"/>
      <c r="L53" s="564"/>
      <c r="M53" s="564"/>
      <c r="N53" s="564"/>
      <c r="O53" s="563"/>
      <c r="P53" s="565" t="s">
        <v>29</v>
      </c>
      <c r="Q53" s="834" t="s">
        <v>101</v>
      </c>
      <c r="R53" s="835"/>
      <c r="S53" s="836" t="s">
        <v>35</v>
      </c>
      <c r="T53" s="837"/>
      <c r="U53" s="565" t="s">
        <v>97</v>
      </c>
      <c r="V53" s="838" t="s">
        <v>36</v>
      </c>
      <c r="W53" s="839"/>
      <c r="X53" s="560"/>
      <c r="Y53" s="633"/>
      <c r="Z53" s="564"/>
      <c r="AA53" s="564"/>
      <c r="AB53" s="564"/>
      <c r="AC53" s="563"/>
      <c r="AD53" s="565" t="s">
        <v>29</v>
      </c>
      <c r="AE53" s="834" t="s">
        <v>101</v>
      </c>
      <c r="AF53" s="835"/>
      <c r="AG53" s="836" t="s">
        <v>35</v>
      </c>
      <c r="AH53" s="837"/>
      <c r="AI53" s="565" t="s">
        <v>97</v>
      </c>
      <c r="AJ53" s="838" t="s">
        <v>36</v>
      </c>
      <c r="AK53" s="839"/>
      <c r="AL53" s="560"/>
      <c r="AM53" s="633"/>
      <c r="AN53" s="564"/>
      <c r="AO53" s="564"/>
      <c r="AP53" s="564"/>
      <c r="AQ53" s="563"/>
      <c r="AR53" s="634" t="s">
        <v>29</v>
      </c>
      <c r="AS53" s="834" t="s">
        <v>101</v>
      </c>
      <c r="AT53" s="835"/>
      <c r="AU53" s="836" t="s">
        <v>35</v>
      </c>
      <c r="AV53" s="837"/>
      <c r="AW53" s="565" t="s">
        <v>97</v>
      </c>
      <c r="AX53" s="838" t="s">
        <v>36</v>
      </c>
      <c r="AY53" s="839"/>
      <c r="AZ53" s="314"/>
      <c r="BA53" s="314"/>
      <c r="BB53" s="39"/>
      <c r="BC53" s="308" t="s">
        <v>186</v>
      </c>
      <c r="BD53" s="402"/>
      <c r="BE53" s="402"/>
      <c r="BF53" s="403"/>
      <c r="BG53" s="39"/>
      <c r="BH53" s="39"/>
      <c r="BI53" s="403"/>
      <c r="BJ53" s="308" t="s">
        <v>185</v>
      </c>
      <c r="BK53" s="404"/>
      <c r="BL53" s="404"/>
      <c r="BM53" s="403"/>
      <c r="BN53" s="39"/>
      <c r="BP53" s="39"/>
      <c r="BQ53" s="39"/>
      <c r="BR53" s="39"/>
      <c r="BS53" s="39"/>
      <c r="BU53" s="39"/>
      <c r="BV53" s="39"/>
      <c r="BW53" s="39"/>
      <c r="BX53" s="39"/>
      <c r="BY53" s="39"/>
      <c r="BZ53" s="39"/>
      <c r="CA53" s="39"/>
      <c r="CB53" s="39"/>
      <c r="CC53" s="39"/>
      <c r="CD53" s="39"/>
      <c r="CE53" s="39"/>
    </row>
    <row r="54" spans="1:83" ht="18" customHeight="1">
      <c r="A54" s="39"/>
      <c r="B54" s="571" t="s">
        <v>288</v>
      </c>
      <c r="C54" s="635" t="s">
        <v>28</v>
      </c>
      <c r="D54" s="636" t="s">
        <v>289</v>
      </c>
      <c r="E54" s="635" t="s">
        <v>290</v>
      </c>
      <c r="F54" s="636" t="s">
        <v>289</v>
      </c>
      <c r="G54" s="571" t="s">
        <v>291</v>
      </c>
      <c r="H54" s="637" t="s">
        <v>292</v>
      </c>
      <c r="I54" s="636" t="s">
        <v>289</v>
      </c>
      <c r="J54" s="569"/>
      <c r="K54" s="638"/>
      <c r="L54" s="564"/>
      <c r="M54" s="564"/>
      <c r="N54" s="564"/>
      <c r="O54" s="563"/>
      <c r="P54" s="571" t="s">
        <v>293</v>
      </c>
      <c r="Q54" s="635" t="s">
        <v>28</v>
      </c>
      <c r="R54" s="636" t="s">
        <v>289</v>
      </c>
      <c r="S54" s="635" t="s">
        <v>290</v>
      </c>
      <c r="T54" s="636" t="s">
        <v>289</v>
      </c>
      <c r="U54" s="571" t="s">
        <v>291</v>
      </c>
      <c r="V54" s="637" t="s">
        <v>292</v>
      </c>
      <c r="W54" s="636" t="s">
        <v>289</v>
      </c>
      <c r="X54" s="569"/>
      <c r="Y54" s="638"/>
      <c r="Z54" s="564"/>
      <c r="AA54" s="564"/>
      <c r="AB54" s="564"/>
      <c r="AC54" s="563"/>
      <c r="AD54" s="571" t="s">
        <v>293</v>
      </c>
      <c r="AE54" s="635" t="s">
        <v>28</v>
      </c>
      <c r="AF54" s="636" t="s">
        <v>289</v>
      </c>
      <c r="AG54" s="635" t="s">
        <v>290</v>
      </c>
      <c r="AH54" s="636" t="s">
        <v>289</v>
      </c>
      <c r="AI54" s="571" t="s">
        <v>291</v>
      </c>
      <c r="AJ54" s="637" t="s">
        <v>292</v>
      </c>
      <c r="AK54" s="636" t="s">
        <v>289</v>
      </c>
      <c r="AL54" s="569"/>
      <c r="AM54" s="638"/>
      <c r="AN54" s="564"/>
      <c r="AO54" s="564"/>
      <c r="AP54" s="564"/>
      <c r="AQ54" s="563"/>
      <c r="AR54" s="639" t="s">
        <v>293</v>
      </c>
      <c r="AS54" s="635" t="s">
        <v>28</v>
      </c>
      <c r="AT54" s="636" t="s">
        <v>289</v>
      </c>
      <c r="AU54" s="635" t="s">
        <v>290</v>
      </c>
      <c r="AV54" s="636" t="s">
        <v>289</v>
      </c>
      <c r="AW54" s="571" t="s">
        <v>291</v>
      </c>
      <c r="AX54" s="637" t="s">
        <v>292</v>
      </c>
      <c r="AY54" s="636" t="s">
        <v>289</v>
      </c>
      <c r="AZ54" s="322"/>
      <c r="BA54" s="322"/>
      <c r="BB54" s="39"/>
      <c r="BC54" s="842" t="s">
        <v>170</v>
      </c>
      <c r="BD54" s="842"/>
      <c r="BE54" s="841" t="s">
        <v>178</v>
      </c>
      <c r="BF54" s="841"/>
      <c r="BG54" s="841"/>
      <c r="BH54" s="841"/>
      <c r="BI54" s="328"/>
      <c r="BJ54" s="841" t="s">
        <v>123</v>
      </c>
      <c r="BK54" s="841"/>
      <c r="BL54" s="754" t="s">
        <v>177</v>
      </c>
      <c r="BM54" s="755"/>
      <c r="BN54" s="755"/>
      <c r="BO54" s="756"/>
      <c r="BP54" s="39"/>
      <c r="BQ54" s="39"/>
      <c r="BR54" s="39"/>
      <c r="BS54" s="39"/>
      <c r="BU54" s="39"/>
      <c r="BV54" s="39"/>
      <c r="BW54" s="39"/>
      <c r="BX54" s="39"/>
      <c r="BY54" s="39"/>
      <c r="BZ54" s="39"/>
      <c r="CA54" s="39"/>
      <c r="CB54" s="39"/>
      <c r="CC54" s="39"/>
      <c r="CD54" s="39"/>
      <c r="CE54" s="39"/>
    </row>
    <row r="55" spans="1:83" ht="18" customHeight="1">
      <c r="A55" s="400"/>
      <c r="B55" s="572" t="s">
        <v>106</v>
      </c>
      <c r="C55" s="640">
        <f>IF(ISERROR(D39*10000/G8),0,(D39*10000/G8))</f>
        <v>0</v>
      </c>
      <c r="D55" s="641">
        <f>IF(ISERROR(C55/C57),0,(C55/C57))</f>
        <v>0</v>
      </c>
      <c r="E55" s="574">
        <f>IF(ISERROR(I39*10000/G8),0,(I39*10000/G8))</f>
        <v>0</v>
      </c>
      <c r="F55" s="641">
        <f>IF(ISERROR(E55/E57),0,(E55/E57))</f>
        <v>0</v>
      </c>
      <c r="G55" s="642">
        <f>IF(ISERROR((10000/C55)^(1/2)/D45),0,((10000/C55)^(1/2)/D45))</f>
        <v>0</v>
      </c>
      <c r="H55" s="643">
        <f>IF(ISERROR(H39*10000/G8),0,(H39*10000/G8))</f>
        <v>0</v>
      </c>
      <c r="I55" s="641">
        <f>IF(ISERROR(H55/H57),0,(H55/H57))</f>
        <v>0</v>
      </c>
      <c r="J55" s="644"/>
      <c r="K55" s="645"/>
      <c r="L55" s="564"/>
      <c r="M55" s="564"/>
      <c r="N55" s="564"/>
      <c r="O55" s="646"/>
      <c r="P55" s="572" t="s">
        <v>106</v>
      </c>
      <c r="Q55" s="640">
        <f>IF(ISERROR(R39*10000/U8),0,(R39*10000/U8))</f>
        <v>0</v>
      </c>
      <c r="R55" s="641">
        <f>IF(ISERROR(Q55/Q57),0,(Q55/Q57))</f>
        <v>0</v>
      </c>
      <c r="S55" s="574">
        <f>IF(ISERROR(W39*10000/U8),0,(W39*10000/U8))</f>
        <v>0</v>
      </c>
      <c r="T55" s="641">
        <f>IF(ISERROR(S55/S57),0,(S55/S57))</f>
        <v>0</v>
      </c>
      <c r="U55" s="642">
        <f>IF(ISERROR((10000/Q55)^(1/2)/R45),0,((10000/Q55)^(1/2)/R45))</f>
        <v>0</v>
      </c>
      <c r="V55" s="643">
        <f>IF(ISERROR(V39*10000/U8),0,(V39*10000/U8))</f>
        <v>0</v>
      </c>
      <c r="W55" s="641">
        <f>IF(ISERROR(V55/V57),0,(V55/V57))</f>
        <v>0</v>
      </c>
      <c r="X55" s="644"/>
      <c r="Y55" s="645"/>
      <c r="Z55" s="564"/>
      <c r="AA55" s="564"/>
      <c r="AB55" s="564"/>
      <c r="AC55" s="646"/>
      <c r="AD55" s="572" t="s">
        <v>106</v>
      </c>
      <c r="AE55" s="640">
        <f>IF(ISERROR(AF39*10000/AI8),0,(AF39*10000/AI8))</f>
        <v>0</v>
      </c>
      <c r="AF55" s="641">
        <f>IF(ISERROR(AE55/AE57),0,(AE55/AE57))</f>
        <v>0</v>
      </c>
      <c r="AG55" s="574">
        <f>IF(ISERROR(AK39*10000/AI8),0,(AK39*10000/AI8))</f>
        <v>0</v>
      </c>
      <c r="AH55" s="641">
        <f>IF(ISERROR(AG55/AG57),0,(AG55/AG57))</f>
        <v>0</v>
      </c>
      <c r="AI55" s="642">
        <f>IF(ISERROR((10000/AE55)^(1/2)/AF45),0,((10000/AE55)^(1/2)/AF45))</f>
        <v>0</v>
      </c>
      <c r="AJ55" s="643">
        <f>IF(ISERROR(AJ39*10000/AI8),0,(AJ39*10000/AI8))</f>
        <v>0</v>
      </c>
      <c r="AK55" s="641">
        <f>IF(ISERROR(AJ55/AJ57),0,(AJ55/AJ57))</f>
        <v>0</v>
      </c>
      <c r="AL55" s="644"/>
      <c r="AM55" s="645"/>
      <c r="AN55" s="564"/>
      <c r="AO55" s="564"/>
      <c r="AP55" s="564"/>
      <c r="AQ55" s="646"/>
      <c r="AR55" s="572" t="s">
        <v>106</v>
      </c>
      <c r="AS55" s="647">
        <f>IF(ISERROR(AS39*10000/AW8),0,(AS39*10000/AW8))</f>
        <v>0</v>
      </c>
      <c r="AT55" s="641">
        <f>IF(ISERROR(AS55/AS57),0,(AS55/AS57))</f>
        <v>0</v>
      </c>
      <c r="AU55" s="574">
        <f>IF(ISERROR(AY39*10000/AW8),0,(AY39*10000/AW8))</f>
        <v>0</v>
      </c>
      <c r="AV55" s="641">
        <f>IF(ISERROR(AU55/AU57),0,(AU55/AU57))</f>
        <v>0</v>
      </c>
      <c r="AW55" s="642">
        <f>IF(ISERROR(((10000/AS55)^(1/2))/AT45),0,(((10000/AS55)^(1/2))/AT45))</f>
        <v>0</v>
      </c>
      <c r="AX55" s="643">
        <f>IF(ISERROR(AX39*10000/AW8),0,(AX39*10000/AW8))</f>
        <v>0</v>
      </c>
      <c r="AY55" s="641">
        <f>IF(ISERROR(AX55/AX57),0,(AX55/AX57))</f>
        <v>0</v>
      </c>
      <c r="AZ55" s="78"/>
      <c r="BA55" s="78"/>
      <c r="BB55" s="400"/>
      <c r="BC55" s="842"/>
      <c r="BD55" s="842"/>
      <c r="BE55" s="841" t="s">
        <v>121</v>
      </c>
      <c r="BF55" s="841"/>
      <c r="BG55" s="841" t="s">
        <v>122</v>
      </c>
      <c r="BH55" s="841"/>
      <c r="BI55" s="245"/>
      <c r="BJ55" s="841"/>
      <c r="BK55" s="841"/>
      <c r="BL55" s="841" t="s">
        <v>121</v>
      </c>
      <c r="BM55" s="841"/>
      <c r="BN55" s="841" t="s">
        <v>122</v>
      </c>
      <c r="BO55" s="841"/>
      <c r="BS55" s="39"/>
      <c r="BU55" s="39"/>
      <c r="BV55" s="39"/>
      <c r="BW55" s="39"/>
      <c r="BX55" s="39"/>
      <c r="BY55" s="39"/>
      <c r="BZ55" s="39"/>
      <c r="CA55" s="39"/>
      <c r="CB55" s="39"/>
      <c r="CC55" s="39"/>
      <c r="CD55" s="39"/>
      <c r="CE55" s="39"/>
    </row>
    <row r="56" spans="1:83" ht="18" customHeight="1" thickBot="1">
      <c r="A56" s="414"/>
      <c r="B56" s="579" t="s">
        <v>107</v>
      </c>
      <c r="C56" s="648">
        <f>IF(ISERROR(D40*10000/G8),0,(D40*10000/G8))</f>
        <v>0</v>
      </c>
      <c r="D56" s="649">
        <f>IF(ISERROR(C56/C57),0,(C56/C57))</f>
        <v>0</v>
      </c>
      <c r="E56" s="581">
        <f>IF(ISERROR(I40*10000/G8),0,(I40*10000/G8))</f>
        <v>0</v>
      </c>
      <c r="F56" s="649">
        <f>IF(ISERROR(E56/E57),0,(E56/E57))</f>
        <v>0</v>
      </c>
      <c r="G56" s="650">
        <f>IF(ISERROR((10000/C56)^(1/2)/D46),0,((10000/C56)^(1/2)/D46))</f>
        <v>0</v>
      </c>
      <c r="H56" s="651">
        <f>IF(ISERROR(H40*10000/G8),0,(H40*10000/G8))</f>
        <v>0</v>
      </c>
      <c r="I56" s="649">
        <f>IF(ISERROR(H56/H57),0,(H56/H57))</f>
        <v>0</v>
      </c>
      <c r="J56" s="644"/>
      <c r="K56" s="652"/>
      <c r="L56" s="564"/>
      <c r="M56" s="564"/>
      <c r="N56" s="564"/>
      <c r="O56" s="653"/>
      <c r="P56" s="579" t="s">
        <v>107</v>
      </c>
      <c r="Q56" s="648">
        <f>IF(ISERROR(R40*10000/U8),0,(R40*10000/U8))</f>
        <v>0</v>
      </c>
      <c r="R56" s="649">
        <f>IF(ISERROR(Q56/Q57),0,(Q56/Q57))</f>
        <v>0</v>
      </c>
      <c r="S56" s="581">
        <f>IF(ISERROR(W40*10000/U8),0,(W40*10000/U8))</f>
        <v>0</v>
      </c>
      <c r="T56" s="649">
        <f>IF(ISERROR(S56/S57),0,(S56/S57))</f>
        <v>0</v>
      </c>
      <c r="U56" s="650">
        <f>IF(ISERROR((10000/Q56)^(1/2)/R46),0,((10000/Q56)^(1/2)/R46))</f>
        <v>0</v>
      </c>
      <c r="V56" s="651">
        <f>IF(ISERROR(V40*10000/U8),0,(V40*10000/U8))</f>
        <v>0</v>
      </c>
      <c r="W56" s="649">
        <f>IF(ISERROR(V56/V57),0,(V56/V57))</f>
        <v>0</v>
      </c>
      <c r="X56" s="644"/>
      <c r="Y56" s="652"/>
      <c r="Z56" s="564"/>
      <c r="AA56" s="564"/>
      <c r="AB56" s="564"/>
      <c r="AC56" s="653"/>
      <c r="AD56" s="579" t="s">
        <v>107</v>
      </c>
      <c r="AE56" s="648">
        <f>IF(ISERROR(AF40*10000/AI8),0,(AF40*10000/AI8))</f>
        <v>0</v>
      </c>
      <c r="AF56" s="649">
        <f>IF(ISERROR(AE56/AE57),0,(AE56/AE57))</f>
        <v>0</v>
      </c>
      <c r="AG56" s="581">
        <f>IF(ISERROR(AK40*10000/AI8),0,(AK40*10000/AI8))</f>
        <v>0</v>
      </c>
      <c r="AH56" s="649">
        <f>IF(ISERROR(AG56/AG57),0,(AG56/AG57))</f>
        <v>0</v>
      </c>
      <c r="AI56" s="650">
        <f>IF(ISERROR((10000/AE56)^(1/2)/AF46),0,((10000/AE56)^(1/2)/AF46))</f>
        <v>0</v>
      </c>
      <c r="AJ56" s="651">
        <f>IF(ISERROR(AJ40*10000/AI8),0,(AJ40*10000/AI8))</f>
        <v>0</v>
      </c>
      <c r="AK56" s="649">
        <f>IF(ISERROR(AJ56/AJ57),0,(AJ56/AJ57))</f>
        <v>0</v>
      </c>
      <c r="AL56" s="644"/>
      <c r="AM56" s="652"/>
      <c r="AN56" s="564"/>
      <c r="AO56" s="564"/>
      <c r="AP56" s="564"/>
      <c r="AQ56" s="653"/>
      <c r="AR56" s="579" t="s">
        <v>107</v>
      </c>
      <c r="AS56" s="648">
        <f>IF(ISERROR(AS40*10000/AW8),0,(AS40*10000/AW8))</f>
        <v>0</v>
      </c>
      <c r="AT56" s="649">
        <f>IF(ISERROR(AS56/AS57),0,(AS56/AS57))</f>
        <v>0</v>
      </c>
      <c r="AU56" s="581">
        <f>IF(ISERROR(AY40*10000/AW8),0,(AY40*10000/AW8))</f>
        <v>0</v>
      </c>
      <c r="AV56" s="649">
        <f>IF(ISERROR(AU56/AU57),0,(AU56/AU57))</f>
        <v>0</v>
      </c>
      <c r="AW56" s="650">
        <f>IF(ISERROR((10000/AS56)^(1/2)/AT46),0,((10000/AS56)^(1/2)/AT46))</f>
        <v>0</v>
      </c>
      <c r="AX56" s="651">
        <f>IF(ISERROR(AX40*10000/AW8),0,(AX40*10000/AW8))</f>
        <v>0</v>
      </c>
      <c r="AY56" s="649">
        <f>IF(ISERROR(AX56/AX57),0,(AX56/AX57))</f>
        <v>0</v>
      </c>
      <c r="AZ56" s="78"/>
      <c r="BA56" s="78"/>
      <c r="BB56" s="414"/>
      <c r="BC56" s="846" t="s">
        <v>120</v>
      </c>
      <c r="BD56" s="846"/>
      <c r="BE56" s="419">
        <v>6</v>
      </c>
      <c r="BF56" s="420">
        <v>10</v>
      </c>
      <c r="BG56" s="421">
        <v>5</v>
      </c>
      <c r="BH56" s="420">
        <v>8</v>
      </c>
      <c r="BI56" s="245"/>
      <c r="BJ56" s="845" t="s">
        <v>124</v>
      </c>
      <c r="BK56" s="845"/>
      <c r="BL56" s="421">
        <v>3</v>
      </c>
      <c r="BM56" s="422">
        <v>6</v>
      </c>
      <c r="BN56" s="421">
        <v>3</v>
      </c>
      <c r="BO56" s="423">
        <v>5</v>
      </c>
      <c r="BP56" s="414"/>
      <c r="BQ56" s="414"/>
      <c r="BR56" s="414"/>
      <c r="BS56" s="245"/>
      <c r="BU56" s="424" t="s">
        <v>189</v>
      </c>
      <c r="BV56" s="39"/>
      <c r="BW56" s="39"/>
      <c r="BX56" s="39"/>
      <c r="BY56" s="39"/>
      <c r="BZ56" s="39"/>
      <c r="CC56" s="39"/>
      <c r="CD56" s="39"/>
      <c r="CE56" s="245"/>
    </row>
    <row r="57" spans="2:73" ht="18" customHeight="1">
      <c r="B57" s="583" t="s">
        <v>75</v>
      </c>
      <c r="C57" s="654">
        <f>IF(ISERROR(D36/G8*10000),0,(D36/G8*10000))</f>
        <v>0</v>
      </c>
      <c r="D57" s="655">
        <f>IF(ISERROR(SUM(D55:D56)),0,(SUM(D55:D56)))</f>
        <v>0</v>
      </c>
      <c r="E57" s="585">
        <f>IF(ISERROR(I36/G8*10000),0,(I36/G8*10000))</f>
        <v>0</v>
      </c>
      <c r="F57" s="655">
        <f>IF(ISERROR(SUM(F55:F56)),0,(SUM(F55:F56)))</f>
        <v>0</v>
      </c>
      <c r="G57" s="656">
        <f>IF(ISERROR((10000/C57)^(1/2)/D47),0,((10000/C57)^(1/2)/D47))</f>
        <v>0</v>
      </c>
      <c r="H57" s="657">
        <f>IF(ISERROR(H36/G8*10000),0,(H36/G8*10000))</f>
        <v>0</v>
      </c>
      <c r="I57" s="655">
        <f>IF(ISERROR(SUM(I55:I56)),0,(SUM(I55:I56)))</f>
        <v>0</v>
      </c>
      <c r="J57" s="560"/>
      <c r="K57" s="577"/>
      <c r="L57" s="564"/>
      <c r="M57" s="564"/>
      <c r="N57" s="564"/>
      <c r="O57" s="559"/>
      <c r="P57" s="583" t="s">
        <v>75</v>
      </c>
      <c r="Q57" s="654">
        <f>IF(ISERROR(R36/U8*10000),0,(R36/U8*10000))</f>
        <v>0</v>
      </c>
      <c r="R57" s="655">
        <f>IF(ISERROR(SUM(R55:R56)),0,(SUM(R55:R56)))</f>
        <v>0</v>
      </c>
      <c r="S57" s="585">
        <f>IF(ISERROR(W36/U8*10000),0,(W36/U8*10000))</f>
        <v>0</v>
      </c>
      <c r="T57" s="655">
        <f>IF(ISERROR(SUM(T55:T56)),0,(SUM(T55:T56)))</f>
        <v>0</v>
      </c>
      <c r="U57" s="656">
        <f>IF(ISERROR((10000/Q57)^(1/2)/R47),0,((10000/Q57)^(1/2)/R47))</f>
        <v>0</v>
      </c>
      <c r="V57" s="657">
        <f>IF(ISERROR(V36/U8*10000),0,(V36/U8*10000))</f>
        <v>0</v>
      </c>
      <c r="W57" s="655">
        <f>IF(ISERROR(SUM(W55:W56)),0,(SUM(W55:W56)))</f>
        <v>0</v>
      </c>
      <c r="X57" s="560"/>
      <c r="Y57" s="577"/>
      <c r="Z57" s="564"/>
      <c r="AA57" s="564"/>
      <c r="AB57" s="564"/>
      <c r="AC57" s="559"/>
      <c r="AD57" s="583" t="s">
        <v>75</v>
      </c>
      <c r="AE57" s="654">
        <f>IF(ISERROR(AF36/AI8*10000),0,(AF36/AI8*10000))</f>
        <v>0</v>
      </c>
      <c r="AF57" s="655">
        <f>IF(ISERROR(SUM(AF55:AF56)),0,(SUM(AF55:AF56)))</f>
        <v>0</v>
      </c>
      <c r="AG57" s="585">
        <f>IF(ISERROR(AK36/AI8*10000),0,(AK36/AI8*10000))</f>
        <v>0</v>
      </c>
      <c r="AH57" s="655">
        <f>IF(ISERROR(SUM(AH55:AH56)),0,(SUM(AH55:AH56)))</f>
        <v>0</v>
      </c>
      <c r="AI57" s="656">
        <f>IF(ISERROR((10000/AE57)^(1/2)/AF47),0,((10000/AE57)^(1/2)/AF47))</f>
        <v>0</v>
      </c>
      <c r="AJ57" s="657">
        <f>IF(ISERROR(AJ36/AI8*10000),0,(AJ36/AI8*10000))</f>
        <v>0</v>
      </c>
      <c r="AK57" s="655">
        <f>IF(ISERROR(SUM(AK55:AK56)),0,(SUM(AK55:AK56)))</f>
        <v>0</v>
      </c>
      <c r="AL57" s="560"/>
      <c r="AM57" s="577"/>
      <c r="AN57" s="564"/>
      <c r="AO57" s="564"/>
      <c r="AP57" s="564"/>
      <c r="AQ57" s="559"/>
      <c r="AR57" s="591" t="s">
        <v>75</v>
      </c>
      <c r="AS57" s="658">
        <f>SUM(AS55:AS56)</f>
        <v>0</v>
      </c>
      <c r="AT57" s="659">
        <f aca="true" t="shared" si="27" ref="AT57:AY57">SUM(AT55:AT56)</f>
        <v>0</v>
      </c>
      <c r="AU57" s="660">
        <f>SUM(AU55:AU56)</f>
        <v>0</v>
      </c>
      <c r="AV57" s="659">
        <f t="shared" si="27"/>
        <v>0</v>
      </c>
      <c r="AW57" s="656">
        <f>IF(ISERROR((10000/AS57)^(1/2)/AT47),0,((10000/AS57)^(1/2)/AT47))</f>
        <v>0</v>
      </c>
      <c r="AX57" s="661">
        <f t="shared" si="27"/>
        <v>0</v>
      </c>
      <c r="AY57" s="659">
        <f t="shared" si="27"/>
        <v>0</v>
      </c>
      <c r="AZ57" s="314"/>
      <c r="BA57" s="314"/>
      <c r="BC57" s="846" t="s">
        <v>171</v>
      </c>
      <c r="BD57" s="846"/>
      <c r="BE57" s="419">
        <v>5</v>
      </c>
      <c r="BF57" s="420">
        <v>9</v>
      </c>
      <c r="BG57" s="421">
        <v>4</v>
      </c>
      <c r="BH57" s="420">
        <v>7</v>
      </c>
      <c r="BI57" s="245"/>
      <c r="BJ57" s="845" t="s">
        <v>125</v>
      </c>
      <c r="BK57" s="845"/>
      <c r="BL57" s="433">
        <v>2.5</v>
      </c>
      <c r="BM57" s="422">
        <v>5</v>
      </c>
      <c r="BN57" s="421">
        <v>2</v>
      </c>
      <c r="BO57" s="423">
        <v>4</v>
      </c>
      <c r="BU57" s="434" t="s">
        <v>242</v>
      </c>
    </row>
    <row r="58" spans="2:67" ht="18" customHeight="1">
      <c r="B58" s="595" t="s">
        <v>134</v>
      </c>
      <c r="C58" s="662">
        <f>IF(ISERROR(D41*10000/G8),0,(D41*10000/G8))</f>
        <v>0</v>
      </c>
      <c r="D58" s="663">
        <f>IF(ISERROR(C58/C57),0,(C58/C57))</f>
        <v>0</v>
      </c>
      <c r="E58" s="597">
        <f>IF(ISERROR(I41*10000/G8),0,(I41*10000/G8))</f>
        <v>0</v>
      </c>
      <c r="F58" s="663">
        <f>IF(ISERROR(E58/E57),0,(E58/E57))</f>
        <v>0</v>
      </c>
      <c r="G58" s="664" t="s">
        <v>282</v>
      </c>
      <c r="H58" s="665">
        <f>IF(ISERROR(H41*10000/G8),0,(H41*10000/G8))</f>
        <v>0</v>
      </c>
      <c r="I58" s="663">
        <f>IF(ISERROR(H58/H57),0,(H58/H57))</f>
        <v>0</v>
      </c>
      <c r="J58" s="666"/>
      <c r="K58" s="577"/>
      <c r="L58" s="564"/>
      <c r="M58" s="564"/>
      <c r="N58" s="564"/>
      <c r="O58" s="559"/>
      <c r="P58" s="595" t="s">
        <v>134</v>
      </c>
      <c r="Q58" s="662">
        <f>IF(ISERROR(R41*10000/U8),0,(R41*10000/U8))</f>
        <v>0</v>
      </c>
      <c r="R58" s="663">
        <f>IF(ISERROR(Q58/Q57),0,(Q58/Q57))</f>
        <v>0</v>
      </c>
      <c r="S58" s="597">
        <f>IF(ISERROR(W41*10000/U8),0,(W41*10000/U8))</f>
        <v>0</v>
      </c>
      <c r="T58" s="663">
        <f>IF(ISERROR(S58/S57),0,(S58/S57))</f>
        <v>0</v>
      </c>
      <c r="U58" s="664" t="s">
        <v>282</v>
      </c>
      <c r="V58" s="665">
        <f>IF(ISERROR(V41*10000/U8),0,(V41*10000/U8))</f>
        <v>0</v>
      </c>
      <c r="W58" s="663">
        <f>IF(ISERROR(V58/V57),0,(V58/V57))</f>
        <v>0</v>
      </c>
      <c r="X58" s="666"/>
      <c r="Y58" s="577"/>
      <c r="Z58" s="564"/>
      <c r="AA58" s="564"/>
      <c r="AB58" s="564"/>
      <c r="AC58" s="559"/>
      <c r="AD58" s="595" t="s">
        <v>134</v>
      </c>
      <c r="AE58" s="662">
        <f>IF(ISERROR(AF41*10000/AI8),0,(AF41*10000/AI8))</f>
        <v>0</v>
      </c>
      <c r="AF58" s="663">
        <f>IF(ISERROR(AE58/AE57),0,(AE58/AE57))</f>
        <v>0</v>
      </c>
      <c r="AG58" s="597">
        <f>IF(ISERROR(AK41*10000/AI8),0,(AK41*10000/AI8))</f>
        <v>0</v>
      </c>
      <c r="AH58" s="663">
        <f>IF(ISERROR(AG58/AG57),0,(AG58/AG57))</f>
        <v>0</v>
      </c>
      <c r="AI58" s="664" t="s">
        <v>282</v>
      </c>
      <c r="AJ58" s="665">
        <f>IF(ISERROR(AJ41*10000/AI8),0,(AJ41*10000/AI8))</f>
        <v>0</v>
      </c>
      <c r="AK58" s="663">
        <f>IF(ISERROR(AJ58/AJ57),0,(AJ58/AJ57))</f>
        <v>0</v>
      </c>
      <c r="AL58" s="666"/>
      <c r="AM58" s="577"/>
      <c r="AN58" s="564"/>
      <c r="AO58" s="564"/>
      <c r="AP58" s="564"/>
      <c r="AQ58" s="559"/>
      <c r="AR58" s="601" t="s">
        <v>134</v>
      </c>
      <c r="AS58" s="667">
        <f>IF(ISERROR(AS41*10000/AW8),0,(AS41*10000/AW8))</f>
        <v>0</v>
      </c>
      <c r="AT58" s="668">
        <f>IF(ISERROR(AS58/AS57),0,(AS58/AS57))</f>
        <v>0</v>
      </c>
      <c r="AU58" s="669">
        <f>IF(ISERROR(AY41*10000/AW8),0,(AY41*10000/AW8))</f>
        <v>0</v>
      </c>
      <c r="AV58" s="668">
        <f>IF(ISERROR(AU58/AU57),0,(AU58/AU57))</f>
        <v>0</v>
      </c>
      <c r="AW58" s="664" t="s">
        <v>282</v>
      </c>
      <c r="AX58" s="670">
        <f>IF(ISERROR(AX41*10000/AW8),0,(AX41*10000/AW8))</f>
        <v>0</v>
      </c>
      <c r="AY58" s="668">
        <f>IF(ISERROR(AX58/AX57),0,AX58/AX57)</f>
        <v>0</v>
      </c>
      <c r="AZ58" s="444"/>
      <c r="BA58" s="439"/>
      <c r="BC58" s="846" t="s">
        <v>172</v>
      </c>
      <c r="BD58" s="846"/>
      <c r="BE58" s="419">
        <v>4</v>
      </c>
      <c r="BF58" s="420">
        <v>8</v>
      </c>
      <c r="BG58" s="421">
        <v>3</v>
      </c>
      <c r="BH58" s="420">
        <v>6</v>
      </c>
      <c r="BI58" s="245"/>
      <c r="BJ58" s="845" t="s">
        <v>127</v>
      </c>
      <c r="BK58" s="845"/>
      <c r="BL58" s="421">
        <v>2</v>
      </c>
      <c r="BM58" s="422">
        <v>4</v>
      </c>
      <c r="BN58" s="421">
        <v>1</v>
      </c>
      <c r="BO58" s="423">
        <v>2</v>
      </c>
    </row>
    <row r="59" spans="2:80" ht="18" customHeight="1" thickBot="1">
      <c r="B59" s="606" t="s">
        <v>68</v>
      </c>
      <c r="C59" s="671">
        <f>C57-C58</f>
        <v>0</v>
      </c>
      <c r="D59" s="672">
        <f>IF(ISERROR(D57-D58),0,(D57-D58))</f>
        <v>0</v>
      </c>
      <c r="E59" s="673">
        <f>E57-E58</f>
        <v>0</v>
      </c>
      <c r="F59" s="672">
        <f>IF(ISERROR(F57-F58),0,(F57-F58))</f>
        <v>0</v>
      </c>
      <c r="G59" s="674">
        <f>IF(ISERROR((10000/C59)^(1/2)/D49),0,((10000/C59)^(1/2)/D49))</f>
        <v>0</v>
      </c>
      <c r="H59" s="675">
        <f>H57-H58</f>
        <v>0</v>
      </c>
      <c r="I59" s="672">
        <f>IF(ISERROR(I57-I58),0,(I57-I58))</f>
        <v>0</v>
      </c>
      <c r="J59" s="666"/>
      <c r="K59" s="577"/>
      <c r="L59" s="564"/>
      <c r="M59" s="564"/>
      <c r="N59" s="564"/>
      <c r="O59" s="559"/>
      <c r="P59" s="606" t="s">
        <v>68</v>
      </c>
      <c r="Q59" s="671">
        <f>Q57-Q58</f>
        <v>0</v>
      </c>
      <c r="R59" s="672">
        <f>IF(ISERROR(R57-R58),0,(R57-R58))</f>
        <v>0</v>
      </c>
      <c r="S59" s="673">
        <f>S57-S58</f>
        <v>0</v>
      </c>
      <c r="T59" s="672">
        <f>IF(ISERROR(T57-T58),0,(T57-T58))</f>
        <v>0</v>
      </c>
      <c r="U59" s="674">
        <f>IF(ISERROR((10000/Q59)^(1/2)/R49),0,((10000/Q59)^(1/2)/R49))</f>
        <v>0</v>
      </c>
      <c r="V59" s="675">
        <f>V57-V58</f>
        <v>0</v>
      </c>
      <c r="W59" s="672">
        <f>IF(ISERROR(W57-W58),0,(W57-W58))</f>
        <v>0</v>
      </c>
      <c r="X59" s="666"/>
      <c r="Y59" s="577"/>
      <c r="Z59" s="564"/>
      <c r="AA59" s="564"/>
      <c r="AB59" s="564"/>
      <c r="AC59" s="559"/>
      <c r="AD59" s="606" t="s">
        <v>68</v>
      </c>
      <c r="AE59" s="671">
        <f>AE57-AE58</f>
        <v>0</v>
      </c>
      <c r="AF59" s="672">
        <f>IF(ISERROR(AF57-AF58),0,(AF57-AF58))</f>
        <v>0</v>
      </c>
      <c r="AG59" s="673">
        <f>AG57-AG58</f>
        <v>0</v>
      </c>
      <c r="AH59" s="672">
        <f>IF(ISERROR(AH57-AH58),0,(AH57-AH58))</f>
        <v>0</v>
      </c>
      <c r="AI59" s="674">
        <f>IF(ISERROR((10000/AE59)^(1/2)/AF49),0,((10000/AE59)^(1/2)/AF49))</f>
        <v>0</v>
      </c>
      <c r="AJ59" s="675">
        <f>AJ57-AJ58</f>
        <v>0</v>
      </c>
      <c r="AK59" s="672">
        <f>IF(ISERROR(AK57-AK58),0,(AK57-AK58))</f>
        <v>0</v>
      </c>
      <c r="AL59" s="666"/>
      <c r="AM59" s="577"/>
      <c r="AN59" s="564"/>
      <c r="AO59" s="564"/>
      <c r="AP59" s="564"/>
      <c r="AQ59" s="559"/>
      <c r="AR59" s="612" t="s">
        <v>68</v>
      </c>
      <c r="AS59" s="676">
        <f>AS57-AS58</f>
        <v>0</v>
      </c>
      <c r="AT59" s="677">
        <f>IF(ISERROR(AT57-AT58),0,(AT57-AT58))</f>
        <v>0</v>
      </c>
      <c r="AU59" s="678">
        <f>AU57-AU58</f>
        <v>0</v>
      </c>
      <c r="AV59" s="677">
        <f>IF(ISERROR(AV57-AV58),0,(AV57-AV58))</f>
        <v>0</v>
      </c>
      <c r="AW59" s="674">
        <f>IF(ISERROR((10000/AS59)^(1/2)/AT49),0,((10000/AS59)^(1/2)/AT49))</f>
        <v>0</v>
      </c>
      <c r="AX59" s="675">
        <f>AX57-AX58</f>
        <v>0</v>
      </c>
      <c r="AY59" s="679">
        <f>IF(ISERROR(AY57-AY58),0,(AY57-AY58))</f>
        <v>0</v>
      </c>
      <c r="AZ59" s="444"/>
      <c r="BA59" s="439"/>
      <c r="BC59" s="846" t="s">
        <v>173</v>
      </c>
      <c r="BD59" s="846"/>
      <c r="BE59" s="419">
        <v>3</v>
      </c>
      <c r="BF59" s="420">
        <v>7</v>
      </c>
      <c r="BG59" s="421">
        <v>2</v>
      </c>
      <c r="BH59" s="420">
        <v>5</v>
      </c>
      <c r="BI59" s="245"/>
      <c r="BJ59" s="845" t="s">
        <v>126</v>
      </c>
      <c r="BK59" s="845"/>
      <c r="BL59" s="433">
        <v>1.5</v>
      </c>
      <c r="BM59" s="422">
        <v>3</v>
      </c>
      <c r="BN59" s="433">
        <v>0.5</v>
      </c>
      <c r="BO59" s="423">
        <v>1</v>
      </c>
      <c r="BU59" s="540"/>
      <c r="BV59" s="541"/>
      <c r="BW59" s="542" t="s">
        <v>96</v>
      </c>
      <c r="BX59" s="543" t="s">
        <v>97</v>
      </c>
      <c r="BY59" s="543" t="s">
        <v>108</v>
      </c>
      <c r="BZ59" s="544" t="s">
        <v>113</v>
      </c>
      <c r="CA59" s="545" t="s">
        <v>2</v>
      </c>
      <c r="CB59" s="543" t="s">
        <v>101</v>
      </c>
    </row>
    <row r="60" spans="2:80" ht="18" customHeight="1">
      <c r="B60" s="830" t="s">
        <v>258</v>
      </c>
      <c r="C60" s="680">
        <f>IF(ISERROR(E$60/(C$49/2)^2*PI()*1000),0,(E$60/(C$49/2)^2*PI()*1000))</f>
        <v>0</v>
      </c>
      <c r="D60" s="843" t="s">
        <v>282</v>
      </c>
      <c r="E60" s="681">
        <f>$BF$16*0.38</f>
        <v>20.9</v>
      </c>
      <c r="F60" s="843" t="s">
        <v>282</v>
      </c>
      <c r="G60" s="682">
        <v>0.175</v>
      </c>
      <c r="H60" s="683"/>
      <c r="I60" s="843" t="s">
        <v>282</v>
      </c>
      <c r="J60" s="666"/>
      <c r="K60" s="577"/>
      <c r="L60" s="564"/>
      <c r="M60" s="564"/>
      <c r="N60" s="564"/>
      <c r="O60" s="559"/>
      <c r="P60" s="830" t="s">
        <v>258</v>
      </c>
      <c r="Q60" s="680">
        <f>IF(ISERROR(S$60/(Q$49/2)^2*PI()*1000),0,(S$60/(Q$49/2)^2*PI()*1000))</f>
        <v>0</v>
      </c>
      <c r="R60" s="843" t="s">
        <v>282</v>
      </c>
      <c r="S60" s="681">
        <f>$BF$16*0.38</f>
        <v>20.9</v>
      </c>
      <c r="T60" s="843" t="s">
        <v>282</v>
      </c>
      <c r="U60" s="682">
        <v>0.175</v>
      </c>
      <c r="V60" s="683"/>
      <c r="W60" s="843" t="s">
        <v>282</v>
      </c>
      <c r="X60" s="666"/>
      <c r="Y60" s="577"/>
      <c r="Z60" s="564"/>
      <c r="AA60" s="564"/>
      <c r="AB60" s="564"/>
      <c r="AC60" s="559"/>
      <c r="AD60" s="830" t="s">
        <v>258</v>
      </c>
      <c r="AE60" s="680">
        <f>IF(ISERROR(AG$60/(AE$49/2)^2*PI()*1000),0,(AG$60/(AE$49/2)^2*PI()*1000))</f>
        <v>0</v>
      </c>
      <c r="AF60" s="843" t="s">
        <v>282</v>
      </c>
      <c r="AG60" s="681">
        <f>$BF$16*0.38</f>
        <v>20.9</v>
      </c>
      <c r="AH60" s="843" t="s">
        <v>282</v>
      </c>
      <c r="AI60" s="682">
        <v>0.175</v>
      </c>
      <c r="AJ60" s="683"/>
      <c r="AK60" s="843" t="s">
        <v>282</v>
      </c>
      <c r="AL60" s="666"/>
      <c r="AM60" s="577"/>
      <c r="AN60" s="564"/>
      <c r="AO60" s="564"/>
      <c r="AP60" s="564"/>
      <c r="AQ60" s="559"/>
      <c r="AR60" s="830" t="s">
        <v>258</v>
      </c>
      <c r="AS60" s="684" t="e">
        <f>BH18</f>
        <v>#DIV/0!</v>
      </c>
      <c r="AT60" s="849" t="s">
        <v>282</v>
      </c>
      <c r="AU60" s="685">
        <f>$BF$16*0.38</f>
        <v>20.9</v>
      </c>
      <c r="AV60" s="849" t="s">
        <v>282</v>
      </c>
      <c r="AW60" s="682">
        <v>0.175</v>
      </c>
      <c r="AX60" s="683"/>
      <c r="AY60" s="843" t="s">
        <v>282</v>
      </c>
      <c r="AZ60" s="444"/>
      <c r="BA60" s="439"/>
      <c r="BC60" s="846" t="s">
        <v>174</v>
      </c>
      <c r="BD60" s="846"/>
      <c r="BE60" s="419">
        <v>2</v>
      </c>
      <c r="BF60" s="420">
        <v>6</v>
      </c>
      <c r="BG60" s="421">
        <v>2</v>
      </c>
      <c r="BH60" s="420">
        <v>4</v>
      </c>
      <c r="BI60" s="201"/>
      <c r="BJ60" s="845" t="s">
        <v>128</v>
      </c>
      <c r="BK60" s="845"/>
      <c r="BL60" s="421">
        <v>1</v>
      </c>
      <c r="BM60" s="422">
        <v>3</v>
      </c>
      <c r="BN60" s="433">
        <v>0.3</v>
      </c>
      <c r="BO60" s="423">
        <v>1</v>
      </c>
      <c r="BU60" s="847" t="s">
        <v>105</v>
      </c>
      <c r="BV60" s="848"/>
      <c r="BW60" s="546">
        <v>0.62</v>
      </c>
      <c r="BX60" s="546">
        <v>0.62</v>
      </c>
      <c r="BY60" s="546">
        <v>0.62</v>
      </c>
      <c r="BZ60" s="546">
        <v>0.62</v>
      </c>
      <c r="CA60" s="547">
        <v>0.62</v>
      </c>
      <c r="CB60" s="546">
        <v>0.62</v>
      </c>
    </row>
    <row r="61" spans="2:80" ht="18" customHeight="1" thickBot="1">
      <c r="B61" s="831"/>
      <c r="C61" s="686">
        <f>IF(ISERROR(E$61/(C$49/2)^2*PI()*1000),0,(E$61/(C$49/2)^2*PI()*1000))</f>
        <v>0</v>
      </c>
      <c r="D61" s="844"/>
      <c r="E61" s="687">
        <f>$BF$16*0.62</f>
        <v>34.1</v>
      </c>
      <c r="F61" s="844"/>
      <c r="G61" s="688">
        <v>0.225</v>
      </c>
      <c r="H61" s="689"/>
      <c r="I61" s="844"/>
      <c r="J61" s="690"/>
      <c r="K61" s="691"/>
      <c r="L61" s="564"/>
      <c r="M61" s="564"/>
      <c r="N61" s="564"/>
      <c r="O61" s="559"/>
      <c r="P61" s="831"/>
      <c r="Q61" s="686">
        <f>IF(ISERROR(S$61/(Q$49/2)^2*PI()*1000),0,(S$61/(Q$49/2)^2*PI()*1000))</f>
        <v>0</v>
      </c>
      <c r="R61" s="844"/>
      <c r="S61" s="687">
        <f>$BF$16*0.62</f>
        <v>34.1</v>
      </c>
      <c r="T61" s="844"/>
      <c r="U61" s="688">
        <v>0.225</v>
      </c>
      <c r="V61" s="689"/>
      <c r="W61" s="844"/>
      <c r="X61" s="690"/>
      <c r="Y61" s="692"/>
      <c r="Z61" s="564"/>
      <c r="AA61" s="564"/>
      <c r="AB61" s="564"/>
      <c r="AC61" s="559"/>
      <c r="AD61" s="831"/>
      <c r="AE61" s="686">
        <f>IF(ISERROR(AG$61/(AE$49/2)^2*PI()*1000),0,(AG$61/(AE$49/2)^2*PI()*1000))</f>
        <v>0</v>
      </c>
      <c r="AF61" s="844"/>
      <c r="AG61" s="687">
        <f>$BF$16*0.62</f>
        <v>34.1</v>
      </c>
      <c r="AH61" s="844"/>
      <c r="AI61" s="688">
        <v>0.225</v>
      </c>
      <c r="AJ61" s="689"/>
      <c r="AK61" s="844"/>
      <c r="AL61" s="690"/>
      <c r="AM61" s="692"/>
      <c r="AN61" s="564"/>
      <c r="AO61" s="564"/>
      <c r="AP61" s="564"/>
      <c r="AQ61" s="559"/>
      <c r="AR61" s="831"/>
      <c r="AS61" s="693" t="e">
        <f>BH17</f>
        <v>#DIV/0!</v>
      </c>
      <c r="AT61" s="850"/>
      <c r="AU61" s="694">
        <f>$BF$16*0.62</f>
        <v>34.1</v>
      </c>
      <c r="AV61" s="850"/>
      <c r="AW61" s="688">
        <v>0.225</v>
      </c>
      <c r="AX61" s="689"/>
      <c r="AY61" s="844"/>
      <c r="AZ61" s="472"/>
      <c r="BA61" s="472"/>
      <c r="BC61" s="846" t="s">
        <v>175</v>
      </c>
      <c r="BD61" s="846"/>
      <c r="BE61" s="419">
        <v>1</v>
      </c>
      <c r="BF61" s="420">
        <v>5</v>
      </c>
      <c r="BG61" s="421">
        <v>1</v>
      </c>
      <c r="BH61" s="420">
        <v>3</v>
      </c>
      <c r="BI61" s="39"/>
      <c r="BJ61" s="845" t="s">
        <v>129</v>
      </c>
      <c r="BK61" s="845"/>
      <c r="BL61" s="433">
        <v>0.5</v>
      </c>
      <c r="BM61" s="422">
        <v>2</v>
      </c>
      <c r="BN61" s="433">
        <v>0.3</v>
      </c>
      <c r="BO61" s="423">
        <v>1</v>
      </c>
      <c r="BU61" s="847" t="s">
        <v>104</v>
      </c>
      <c r="BV61" s="848"/>
      <c r="BW61" s="546">
        <v>0.38</v>
      </c>
      <c r="BX61" s="546">
        <v>0.38</v>
      </c>
      <c r="BY61" s="546">
        <v>0.38</v>
      </c>
      <c r="BZ61" s="546">
        <v>0.38</v>
      </c>
      <c r="CA61" s="547">
        <v>0.38</v>
      </c>
      <c r="CB61" s="546">
        <v>0.38</v>
      </c>
    </row>
    <row r="62" spans="2:80" ht="18" customHeight="1" thickBot="1">
      <c r="B62" s="695"/>
      <c r="C62" s="695"/>
      <c r="D62" s="695"/>
      <c r="E62" s="695"/>
      <c r="F62" s="695"/>
      <c r="G62" s="695"/>
      <c r="H62" s="695"/>
      <c r="I62" s="695"/>
      <c r="J62" s="695"/>
      <c r="K62" s="696"/>
      <c r="L62" s="564"/>
      <c r="M62" s="564"/>
      <c r="N62" s="564"/>
      <c r="O62" s="695"/>
      <c r="P62" s="695"/>
      <c r="Q62" s="695"/>
      <c r="R62" s="695"/>
      <c r="S62" s="695"/>
      <c r="T62" s="695"/>
      <c r="U62" s="695"/>
      <c r="V62" s="695"/>
      <c r="W62" s="695"/>
      <c r="X62" s="695"/>
      <c r="Y62" s="696"/>
      <c r="Z62" s="564"/>
      <c r="AA62" s="564"/>
      <c r="AB62" s="564"/>
      <c r="AC62" s="695"/>
      <c r="AD62" s="695"/>
      <c r="AE62" s="695"/>
      <c r="AF62" s="695"/>
      <c r="AG62" s="695"/>
      <c r="AH62" s="695"/>
      <c r="AI62" s="695"/>
      <c r="AJ62" s="695"/>
      <c r="AK62" s="695"/>
      <c r="AL62" s="695"/>
      <c r="AM62" s="696"/>
      <c r="AN62" s="564"/>
      <c r="AO62" s="564"/>
      <c r="AP62" s="564"/>
      <c r="AQ62" s="695"/>
      <c r="AR62" s="695"/>
      <c r="AS62" s="695"/>
      <c r="AT62" s="695"/>
      <c r="AU62" s="695"/>
      <c r="AV62" s="695"/>
      <c r="AW62" s="695"/>
      <c r="AX62" s="695"/>
      <c r="AY62" s="695"/>
      <c r="AZ62" s="83"/>
      <c r="BA62" s="472"/>
      <c r="BC62" s="846" t="s">
        <v>176</v>
      </c>
      <c r="BD62" s="846"/>
      <c r="BE62" s="419">
        <v>1</v>
      </c>
      <c r="BF62" s="420">
        <v>4</v>
      </c>
      <c r="BG62" s="421">
        <v>1</v>
      </c>
      <c r="BH62" s="420">
        <v>2</v>
      </c>
      <c r="BI62" s="39"/>
      <c r="BJ62" s="845" t="s">
        <v>130</v>
      </c>
      <c r="BK62" s="845"/>
      <c r="BL62" s="433">
        <v>0.5</v>
      </c>
      <c r="BM62" s="475">
        <v>1.5</v>
      </c>
      <c r="BN62" s="433">
        <v>0.2</v>
      </c>
      <c r="BO62" s="423">
        <v>1</v>
      </c>
      <c r="BU62" s="851" t="s">
        <v>188</v>
      </c>
      <c r="BV62" s="852"/>
      <c r="BW62" s="548"/>
      <c r="BX62" s="548"/>
      <c r="BY62" s="548">
        <v>0.7</v>
      </c>
      <c r="BZ62" s="548">
        <v>0.7</v>
      </c>
      <c r="CA62" s="548">
        <v>0.7</v>
      </c>
      <c r="CB62" s="548"/>
    </row>
    <row r="63" spans="2:80" ht="18" customHeight="1" thickBot="1" thickTop="1">
      <c r="B63" s="697" t="s">
        <v>88</v>
      </c>
      <c r="C63" s="698"/>
      <c r="D63" s="559"/>
      <c r="E63" s="559"/>
      <c r="F63" s="559"/>
      <c r="G63" s="707"/>
      <c r="H63" s="707"/>
      <c r="I63" s="707"/>
      <c r="J63" s="695"/>
      <c r="K63" s="696"/>
      <c r="L63" s="564"/>
      <c r="M63" s="564"/>
      <c r="N63" s="564"/>
      <c r="O63" s="695"/>
      <c r="P63" s="699" t="s">
        <v>89</v>
      </c>
      <c r="Q63" s="700" t="s">
        <v>83</v>
      </c>
      <c r="R63" s="855" t="s">
        <v>91</v>
      </c>
      <c r="S63" s="856"/>
      <c r="T63" s="856"/>
      <c r="U63" s="701" t="s">
        <v>93</v>
      </c>
      <c r="V63" s="702" t="s">
        <v>90</v>
      </c>
      <c r="W63" s="702"/>
      <c r="X63" s="695"/>
      <c r="Y63" s="696"/>
      <c r="Z63" s="564"/>
      <c r="AA63" s="564"/>
      <c r="AB63" s="564"/>
      <c r="AC63" s="695"/>
      <c r="AD63" s="699" t="s">
        <v>89</v>
      </c>
      <c r="AE63" s="700" t="s">
        <v>83</v>
      </c>
      <c r="AF63" s="855" t="s">
        <v>91</v>
      </c>
      <c r="AG63" s="856"/>
      <c r="AH63" s="856"/>
      <c r="AI63" s="701" t="s">
        <v>93</v>
      </c>
      <c r="AJ63" s="702" t="s">
        <v>90</v>
      </c>
      <c r="AK63" s="702"/>
      <c r="AL63" s="695"/>
      <c r="AM63" s="696"/>
      <c r="AN63" s="564"/>
      <c r="AO63" s="564"/>
      <c r="AP63" s="564"/>
      <c r="AQ63" s="695"/>
      <c r="AR63" s="559"/>
      <c r="AS63" s="857" t="s">
        <v>148</v>
      </c>
      <c r="AT63" s="858"/>
      <c r="AU63" s="708" t="s">
        <v>147</v>
      </c>
      <c r="AV63" s="709">
        <f>AY58</f>
        <v>0</v>
      </c>
      <c r="AW63" s="710" t="s">
        <v>146</v>
      </c>
      <c r="AX63" s="711">
        <f>AT58</f>
        <v>0</v>
      </c>
      <c r="AY63" s="559"/>
      <c r="AZ63" s="83"/>
      <c r="BA63" s="472"/>
      <c r="BC63" s="859" t="s">
        <v>179</v>
      </c>
      <c r="BD63" s="860"/>
      <c r="BE63" s="860"/>
      <c r="BF63" s="860"/>
      <c r="BG63" s="860"/>
      <c r="BH63" s="39"/>
      <c r="BI63" s="39"/>
      <c r="BJ63" s="845" t="s">
        <v>131</v>
      </c>
      <c r="BK63" s="845"/>
      <c r="BL63" s="433">
        <v>0.5</v>
      </c>
      <c r="BM63" s="422">
        <v>1</v>
      </c>
      <c r="BN63" s="433">
        <v>0.1</v>
      </c>
      <c r="BO63" s="422">
        <v>1</v>
      </c>
      <c r="BU63" s="851" t="s">
        <v>188</v>
      </c>
      <c r="BV63" s="852"/>
      <c r="BW63" s="548"/>
      <c r="BX63" s="548"/>
      <c r="BY63" s="548">
        <v>0.3</v>
      </c>
      <c r="BZ63" s="548">
        <v>0.3</v>
      </c>
      <c r="CA63" s="548">
        <v>0.3</v>
      </c>
      <c r="CB63" s="548"/>
    </row>
    <row r="64" spans="2:80" ht="18" customHeight="1" thickTop="1">
      <c r="B64" s="92" t="s">
        <v>294</v>
      </c>
      <c r="C64" s="88" t="s">
        <v>167</v>
      </c>
      <c r="D64" s="83"/>
      <c r="E64" s="83"/>
      <c r="F64" s="83"/>
      <c r="G64" s="83"/>
      <c r="H64" s="83"/>
      <c r="I64" s="83"/>
      <c r="J64" s="83"/>
      <c r="K64" s="82"/>
      <c r="L64" s="32"/>
      <c r="M64" s="32"/>
      <c r="N64" s="32"/>
      <c r="O64" s="83"/>
      <c r="P64" s="83"/>
      <c r="Q64" s="83"/>
      <c r="R64" s="83"/>
      <c r="S64" s="83"/>
      <c r="T64" s="83"/>
      <c r="U64" s="83"/>
      <c r="V64" s="83"/>
      <c r="W64" s="83"/>
      <c r="X64" s="83"/>
      <c r="Y64" s="82"/>
      <c r="AA64" s="32"/>
      <c r="AB64" s="32"/>
      <c r="AC64" s="83"/>
      <c r="AD64" s="83"/>
      <c r="AE64" s="83"/>
      <c r="AF64" s="83"/>
      <c r="AG64" s="83"/>
      <c r="AH64" s="83"/>
      <c r="AI64" s="83"/>
      <c r="AJ64" s="83"/>
      <c r="AK64" s="83"/>
      <c r="AL64" s="83"/>
      <c r="AM64" s="82"/>
      <c r="AO64" s="32"/>
      <c r="AQ64" s="83"/>
      <c r="AR64" s="83"/>
      <c r="AY64" s="83"/>
      <c r="AZ64" s="83"/>
      <c r="BA64" s="472"/>
      <c r="BC64" s="328"/>
      <c r="BD64" s="328"/>
      <c r="BE64" s="328"/>
      <c r="BF64" s="328"/>
      <c r="BG64" s="328"/>
      <c r="BH64" s="39"/>
      <c r="BI64" s="39"/>
      <c r="BJ64" s="859" t="s">
        <v>179</v>
      </c>
      <c r="BK64" s="860"/>
      <c r="BL64" s="860"/>
      <c r="BM64" s="860"/>
      <c r="BN64" s="860"/>
      <c r="BO64" s="39"/>
      <c r="BU64" s="865" t="str">
        <f>BC45</f>
        <v>間伐前</v>
      </c>
      <c r="BV64" s="866"/>
      <c r="BW64" s="549">
        <f>$AU$57/BF12</f>
        <v>0</v>
      </c>
      <c r="BX64" s="550">
        <f>((BX68)/(0.4))</f>
        <v>0</v>
      </c>
      <c r="BY64" s="550" t="e">
        <f>BY68/BK12</f>
        <v>#DIV/0!</v>
      </c>
      <c r="BZ64" s="549" t="e">
        <f>BZ68/$AT$47</f>
        <v>#DIV/0!</v>
      </c>
      <c r="CA64" s="551" t="e">
        <f>(CA68-BJ15)/(BJ12-BJ15)</f>
        <v>#DIV/0!</v>
      </c>
      <c r="CB64" s="549" t="e">
        <f>$AS$57/(BF12/(($AS$47/100/2)^2*PI()))</f>
        <v>#DIV/0!</v>
      </c>
    </row>
    <row r="65" spans="2:82" ht="18" customHeight="1">
      <c r="B65" s="489"/>
      <c r="C65" s="88" t="s">
        <v>168</v>
      </c>
      <c r="L65" s="32"/>
      <c r="M65" s="32"/>
      <c r="N65" s="32"/>
      <c r="AA65" s="32"/>
      <c r="AB65" s="32"/>
      <c r="AO65" s="32"/>
      <c r="BC65" s="490"/>
      <c r="BD65" s="328"/>
      <c r="BE65" s="328"/>
      <c r="BF65" s="328"/>
      <c r="BG65" s="328"/>
      <c r="BH65" s="328"/>
      <c r="BI65" s="328"/>
      <c r="BJ65" s="328"/>
      <c r="BK65" s="39"/>
      <c r="BL65" s="39"/>
      <c r="BM65" s="39"/>
      <c r="BN65" s="39"/>
      <c r="BO65" s="39"/>
      <c r="BU65" s="865" t="str">
        <f>BC46</f>
        <v>間伐後</v>
      </c>
      <c r="BV65" s="866"/>
      <c r="BW65" s="549">
        <f>$AU$59/BF16</f>
        <v>0</v>
      </c>
      <c r="BX65" s="550">
        <f>((BX69-0)/(0.4))</f>
        <v>0</v>
      </c>
      <c r="BY65" s="550" t="e">
        <f>BY69/BK16</f>
        <v>#DIV/0!</v>
      </c>
      <c r="BZ65" s="549" t="e">
        <f>BZ69/$AT$49</f>
        <v>#DIV/0!</v>
      </c>
      <c r="CA65" s="551" t="e">
        <f>(CA69-BJ19)/(BJ16-BJ19)</f>
        <v>#DIV/0!</v>
      </c>
      <c r="CB65" s="549" t="e">
        <f>$AS$59/(BF16/(($AS$49/100/2)^2*PI()))</f>
        <v>#DIV/0!</v>
      </c>
      <c r="CD65" s="491"/>
    </row>
    <row r="66" spans="2:82" ht="18" customHeight="1">
      <c r="B66" s="489" t="s">
        <v>295</v>
      </c>
      <c r="C66" s="88" t="s">
        <v>116</v>
      </c>
      <c r="Y66" s="492"/>
      <c r="Z66" s="493"/>
      <c r="AA66" s="95"/>
      <c r="AB66" s="95"/>
      <c r="AC66" s="481"/>
      <c r="AO66" s="32"/>
      <c r="BC66" s="201"/>
      <c r="BD66" s="201"/>
      <c r="BE66" s="201"/>
      <c r="BF66" s="328"/>
      <c r="BG66" s="328"/>
      <c r="BH66" s="201"/>
      <c r="BI66" s="201"/>
      <c r="BJ66" s="201"/>
      <c r="BK66" s="39"/>
      <c r="BL66" s="328"/>
      <c r="BM66" s="39"/>
      <c r="BN66" s="39"/>
      <c r="BO66" s="328"/>
      <c r="BU66" s="863" t="str">
        <f>BC47</f>
        <v>１０年先の間伐前</v>
      </c>
      <c r="BV66" s="864"/>
      <c r="BW66" s="552">
        <f>BW70/BF20</f>
        <v>0</v>
      </c>
      <c r="BX66" s="553" t="e">
        <f>(BX70-0)/(0.4)</f>
        <v>#DIV/0!</v>
      </c>
      <c r="BY66" s="553">
        <f>BY70/BK20</f>
        <v>0.09523809523809523</v>
      </c>
      <c r="BZ66" s="552">
        <f>BJ47/BH47</f>
        <v>1</v>
      </c>
      <c r="CA66" s="554">
        <f>(CA70-BJ23)/(BJ20-BJ23)</f>
        <v>2.625</v>
      </c>
      <c r="CB66" s="552">
        <f>CB70/(BF20/((CA70/2)^2*PI()))</f>
        <v>0</v>
      </c>
      <c r="CD66" s="491"/>
    </row>
    <row r="67" spans="2:82" ht="18" customHeight="1">
      <c r="B67" s="489" t="s">
        <v>296</v>
      </c>
      <c r="C67" s="88" t="s">
        <v>117</v>
      </c>
      <c r="AO67" s="32"/>
      <c r="BC67" s="245"/>
      <c r="BD67" s="245"/>
      <c r="BE67" s="245"/>
      <c r="BF67" s="245"/>
      <c r="BG67" s="245"/>
      <c r="BH67" s="328"/>
      <c r="BI67" s="328"/>
      <c r="BJ67" s="328"/>
      <c r="BK67" s="328"/>
      <c r="BL67" s="328"/>
      <c r="BM67" s="328"/>
      <c r="BN67" s="328"/>
      <c r="BO67" s="328"/>
      <c r="BU67" s="861" t="str">
        <f>BC48</f>
        <v>１０年先の間伐後</v>
      </c>
      <c r="BV67" s="862"/>
      <c r="BW67" s="555">
        <f>BN48/BF24</f>
        <v>0</v>
      </c>
      <c r="BX67" s="553" t="e">
        <f>(BX71-0)/(0.4)</f>
        <v>#DIV/0!</v>
      </c>
      <c r="BY67" s="555">
        <f>BL48/BK24</f>
        <v>0.09523809523809523</v>
      </c>
      <c r="BZ67" s="555">
        <f>BJ48/BH48</f>
        <v>1</v>
      </c>
      <c r="CA67" s="555">
        <f>(CA71-BJ27)/(BJ24-BJ27)</f>
        <v>2.625</v>
      </c>
      <c r="CB67" s="555">
        <f>BI48/(BF24/((BG48/100/2)^2*PI()))</f>
        <v>0</v>
      </c>
      <c r="CD67" s="491"/>
    </row>
    <row r="68" spans="2:80" ht="18" customHeight="1">
      <c r="B68" s="489" t="s">
        <v>297</v>
      </c>
      <c r="C68" s="88" t="s">
        <v>184</v>
      </c>
      <c r="BC68" s="245"/>
      <c r="BD68" s="245"/>
      <c r="BE68" s="245"/>
      <c r="BF68" s="245"/>
      <c r="BG68" s="245"/>
      <c r="BH68" s="245"/>
      <c r="BI68" s="245"/>
      <c r="BJ68" s="245"/>
      <c r="BK68" s="245"/>
      <c r="BL68" s="245"/>
      <c r="BM68" s="245"/>
      <c r="BN68" s="245"/>
      <c r="BO68" s="245"/>
      <c r="BU68" s="853" t="str">
        <f>BU64</f>
        <v>間伐前</v>
      </c>
      <c r="BV68" s="854"/>
      <c r="BW68" s="498">
        <f>$AU$57</f>
        <v>0</v>
      </c>
      <c r="BX68" s="499">
        <f>$AW$57</f>
        <v>0</v>
      </c>
      <c r="BY68" s="500" t="e">
        <f>$AW$47</f>
        <v>#DIV/0!</v>
      </c>
      <c r="BZ68" s="501">
        <f>$AU$47</f>
        <v>0</v>
      </c>
      <c r="CA68" s="502">
        <f>$AS$47/100</f>
        <v>0</v>
      </c>
      <c r="CB68" s="503">
        <f>$AS$57</f>
        <v>0</v>
      </c>
    </row>
    <row r="69" spans="3:80" ht="18" customHeight="1">
      <c r="C69" s="88"/>
      <c r="BC69" s="245"/>
      <c r="BD69" s="245"/>
      <c r="BE69" s="245"/>
      <c r="BH69" s="245"/>
      <c r="BI69" s="245"/>
      <c r="BJ69" s="245"/>
      <c r="BU69" s="853" t="str">
        <f>BU65</f>
        <v>間伐後</v>
      </c>
      <c r="BV69" s="854"/>
      <c r="BW69" s="498">
        <f>$AU$59</f>
        <v>0</v>
      </c>
      <c r="BX69" s="499">
        <f>$AW$59</f>
        <v>0</v>
      </c>
      <c r="BY69" s="500" t="e">
        <f>$AW$49</f>
        <v>#DIV/0!</v>
      </c>
      <c r="BZ69" s="501">
        <f>$AU$49</f>
        <v>0</v>
      </c>
      <c r="CA69" s="504">
        <f>$AS$49/100</f>
        <v>0</v>
      </c>
      <c r="CB69" s="503">
        <f>$AS$59</f>
        <v>0</v>
      </c>
    </row>
    <row r="70" spans="55:80" ht="18" customHeight="1">
      <c r="BC70" s="245"/>
      <c r="BD70" s="245"/>
      <c r="BE70" s="245"/>
      <c r="BH70" s="245"/>
      <c r="BI70" s="245"/>
      <c r="BJ70" s="245"/>
      <c r="BU70" s="853" t="str">
        <f>BU66</f>
        <v>１０年先の間伐前</v>
      </c>
      <c r="BV70" s="854"/>
      <c r="BW70" s="498">
        <f>BN47</f>
        <v>0</v>
      </c>
      <c r="BX70" s="499" t="e">
        <f>BM47</f>
        <v>#DIV/0!</v>
      </c>
      <c r="BY70" s="500">
        <f>BL47</f>
        <v>14.285714285714285</v>
      </c>
      <c r="BZ70" s="501">
        <f>BJ47</f>
        <v>1</v>
      </c>
      <c r="CA70" s="504">
        <f>BG47/100</f>
        <v>0.07</v>
      </c>
      <c r="CB70" s="503">
        <f>BI47</f>
        <v>0</v>
      </c>
    </row>
    <row r="71" spans="55:83" ht="18" customHeight="1">
      <c r="BC71" s="201"/>
      <c r="BD71" s="201"/>
      <c r="BE71" s="201"/>
      <c r="BH71" s="245"/>
      <c r="BI71" s="245"/>
      <c r="BJ71" s="245"/>
      <c r="BS71" s="400"/>
      <c r="BU71" s="853" t="str">
        <f>BU67</f>
        <v>１０年先の間伐後</v>
      </c>
      <c r="BV71" s="854"/>
      <c r="BW71" s="505">
        <f>BN48</f>
        <v>0</v>
      </c>
      <c r="BX71" s="506" t="e">
        <f>BM48</f>
        <v>#DIV/0!</v>
      </c>
      <c r="BY71" s="507">
        <f>BL48</f>
        <v>14.285714285714285</v>
      </c>
      <c r="BZ71" s="508">
        <f>BJ48</f>
        <v>1</v>
      </c>
      <c r="CA71" s="509">
        <f>BG48/100</f>
        <v>0.07</v>
      </c>
      <c r="CB71" s="510">
        <f>BI48</f>
        <v>0</v>
      </c>
      <c r="CE71" s="400"/>
    </row>
    <row r="72" spans="55:83" ht="18" customHeight="1">
      <c r="BC72" s="39"/>
      <c r="BD72" s="39"/>
      <c r="BE72" s="39"/>
      <c r="BH72" s="201"/>
      <c r="BI72" s="201"/>
      <c r="BJ72" s="201"/>
      <c r="BS72" s="414"/>
      <c r="BT72" s="400"/>
      <c r="BU72" s="400"/>
      <c r="BV72" s="400"/>
      <c r="BW72" s="400"/>
      <c r="BX72" s="400"/>
      <c r="BY72" s="400"/>
      <c r="BZ72" s="400"/>
      <c r="CA72" s="400"/>
      <c r="CB72" s="400"/>
      <c r="CC72" s="414"/>
      <c r="CE72" s="414"/>
    </row>
    <row r="73" spans="55:82" ht="18" customHeight="1">
      <c r="BC73" s="39"/>
      <c r="BD73" s="39"/>
      <c r="BE73" s="39"/>
      <c r="BH73" s="39"/>
      <c r="BI73" s="39"/>
      <c r="BJ73" s="39"/>
      <c r="BU73" s="414"/>
      <c r="BV73" s="414"/>
      <c r="BW73" s="511"/>
      <c r="BX73" s="414"/>
      <c r="BY73" s="414"/>
      <c r="BZ73" s="414"/>
      <c r="CA73" s="414"/>
      <c r="CB73" s="414"/>
      <c r="CD73" s="400"/>
    </row>
    <row r="74" spans="55:82" ht="18" customHeight="1">
      <c r="BC74" s="272"/>
      <c r="BD74" s="272"/>
      <c r="BE74" s="272"/>
      <c r="BH74" s="39"/>
      <c r="BI74" s="39"/>
      <c r="BJ74" s="39"/>
      <c r="CD74" s="414"/>
    </row>
    <row r="75" spans="55:62" ht="18" customHeight="1">
      <c r="BC75" s="39"/>
      <c r="BD75" s="39"/>
      <c r="BE75" s="39"/>
      <c r="BH75" s="39"/>
      <c r="BI75" s="39"/>
      <c r="BJ75" s="272"/>
    </row>
    <row r="76" spans="55:70" ht="18" customHeight="1">
      <c r="BC76" s="39"/>
      <c r="BD76" s="39"/>
      <c r="BE76" s="39"/>
      <c r="BH76" s="512"/>
      <c r="BI76" s="39"/>
      <c r="BJ76" s="39"/>
      <c r="BP76" s="272"/>
      <c r="BQ76" s="272"/>
      <c r="BR76" s="272"/>
    </row>
    <row r="77" spans="55:70" ht="14.25">
      <c r="BC77" s="328"/>
      <c r="BD77" s="328"/>
      <c r="BE77" s="328"/>
      <c r="BH77" s="328"/>
      <c r="BI77" s="328"/>
      <c r="BJ77" s="39"/>
      <c r="BP77" s="39"/>
      <c r="BQ77" s="39"/>
      <c r="BR77" s="39"/>
    </row>
    <row r="78" spans="55:70" ht="14.25">
      <c r="BC78" s="328"/>
      <c r="BD78" s="328"/>
      <c r="BE78" s="328"/>
      <c r="BH78" s="245"/>
      <c r="BI78" s="328"/>
      <c r="BJ78" s="328"/>
      <c r="BP78" s="39"/>
      <c r="BQ78" s="39"/>
      <c r="BR78" s="39"/>
    </row>
    <row r="79" spans="55:70" ht="14.25">
      <c r="BC79" s="385"/>
      <c r="BD79" s="245"/>
      <c r="BE79" s="245"/>
      <c r="BH79" s="245"/>
      <c r="BI79" s="245"/>
      <c r="BJ79" s="328"/>
      <c r="BP79" s="328"/>
      <c r="BQ79" s="328"/>
      <c r="BR79" s="328"/>
    </row>
    <row r="80" spans="60:70" ht="14.25">
      <c r="BH80" s="245"/>
      <c r="BI80" s="245"/>
      <c r="BJ80" s="245"/>
      <c r="BP80" s="328"/>
      <c r="BQ80" s="328"/>
      <c r="BR80" s="328"/>
    </row>
    <row r="81" spans="68:70" ht="14.25">
      <c r="BP81" s="245"/>
      <c r="BQ81" s="245"/>
      <c r="BR81" s="245"/>
    </row>
  </sheetData>
  <sheetProtection selectLockedCells="1" selectUnlockedCells="1"/>
  <mergeCells count="177">
    <mergeCell ref="BC62:BD62"/>
    <mergeCell ref="BJ62:BK62"/>
    <mergeCell ref="BJ63:BK63"/>
    <mergeCell ref="BU71:BV71"/>
    <mergeCell ref="BU68:BV68"/>
    <mergeCell ref="BU67:BV67"/>
    <mergeCell ref="BJ64:BN64"/>
    <mergeCell ref="BU66:BV66"/>
    <mergeCell ref="BU65:BV65"/>
    <mergeCell ref="BU64:BV64"/>
    <mergeCell ref="BU69:BV69"/>
    <mergeCell ref="BU70:BV70"/>
    <mergeCell ref="R63:T63"/>
    <mergeCell ref="AF63:AH63"/>
    <mergeCell ref="AS63:AT63"/>
    <mergeCell ref="BC63:BG63"/>
    <mergeCell ref="BU60:BV60"/>
    <mergeCell ref="BJ60:BK60"/>
    <mergeCell ref="BU62:BV62"/>
    <mergeCell ref="BU63:BV63"/>
    <mergeCell ref="T60:T61"/>
    <mergeCell ref="W60:W61"/>
    <mergeCell ref="AD60:AD61"/>
    <mergeCell ref="BU61:BV61"/>
    <mergeCell ref="BC61:BD61"/>
    <mergeCell ref="BJ61:BK61"/>
    <mergeCell ref="AR60:AR61"/>
    <mergeCell ref="AT60:AT61"/>
    <mergeCell ref="AV60:AV61"/>
    <mergeCell ref="AY60:AY61"/>
    <mergeCell ref="BC58:BD58"/>
    <mergeCell ref="BJ58:BK58"/>
    <mergeCell ref="B60:B61"/>
    <mergeCell ref="D60:D61"/>
    <mergeCell ref="F60:F61"/>
    <mergeCell ref="I60:I61"/>
    <mergeCell ref="P60:P61"/>
    <mergeCell ref="R60:R61"/>
    <mergeCell ref="AF60:AF61"/>
    <mergeCell ref="AH60:AH61"/>
    <mergeCell ref="BC54:BD55"/>
    <mergeCell ref="BE54:BH54"/>
    <mergeCell ref="AK60:AK61"/>
    <mergeCell ref="BJ56:BK56"/>
    <mergeCell ref="BC57:BD57"/>
    <mergeCell ref="BJ57:BK57"/>
    <mergeCell ref="BC56:BD56"/>
    <mergeCell ref="BC59:BD59"/>
    <mergeCell ref="BJ59:BK59"/>
    <mergeCell ref="BC60:BD60"/>
    <mergeCell ref="BJ54:BK55"/>
    <mergeCell ref="BL54:BO54"/>
    <mergeCell ref="BE55:BF55"/>
    <mergeCell ref="BG55:BH55"/>
    <mergeCell ref="BL55:BM55"/>
    <mergeCell ref="BN55:BO55"/>
    <mergeCell ref="AS53:AT53"/>
    <mergeCell ref="BC47:BD47"/>
    <mergeCell ref="C53:D53"/>
    <mergeCell ref="E53:F53"/>
    <mergeCell ref="H53:I53"/>
    <mergeCell ref="Q53:R53"/>
    <mergeCell ref="S53:T53"/>
    <mergeCell ref="V53:W53"/>
    <mergeCell ref="AU53:AV53"/>
    <mergeCell ref="AX53:AY53"/>
    <mergeCell ref="AE53:AF53"/>
    <mergeCell ref="AG53:AH53"/>
    <mergeCell ref="AF50:AF51"/>
    <mergeCell ref="AR50:AR51"/>
    <mergeCell ref="AJ53:AK53"/>
    <mergeCell ref="BC45:BD45"/>
    <mergeCell ref="BC46:BD46"/>
    <mergeCell ref="BC48:BD48"/>
    <mergeCell ref="B50:B51"/>
    <mergeCell ref="D50:D51"/>
    <mergeCell ref="P50:P51"/>
    <mergeCell ref="R50:R51"/>
    <mergeCell ref="AD50:AD51"/>
    <mergeCell ref="AT50:AT51"/>
    <mergeCell ref="AD43:AD44"/>
    <mergeCell ref="AI43:AI44"/>
    <mergeCell ref="AR43:AR44"/>
    <mergeCell ref="BE43:BF43"/>
    <mergeCell ref="AW43:AW44"/>
    <mergeCell ref="BC43:BD44"/>
    <mergeCell ref="B43:B44"/>
    <mergeCell ref="G43:G44"/>
    <mergeCell ref="P43:P44"/>
    <mergeCell ref="U43:U44"/>
    <mergeCell ref="BC25:BD26"/>
    <mergeCell ref="BE25:BE26"/>
    <mergeCell ref="BN25:BO25"/>
    <mergeCell ref="BM43:BM44"/>
    <mergeCell ref="BN43:BN44"/>
    <mergeCell ref="BL43:BL44"/>
    <mergeCell ref="BM36:BP37"/>
    <mergeCell ref="BM24:BM25"/>
    <mergeCell ref="BC21:BD22"/>
    <mergeCell ref="BE21:BE22"/>
    <mergeCell ref="BS12:BT12"/>
    <mergeCell ref="BC13:BD14"/>
    <mergeCell ref="BE13:BE14"/>
    <mergeCell ref="BG10:BG11"/>
    <mergeCell ref="BH10:BH11"/>
    <mergeCell ref="BU10:CB11"/>
    <mergeCell ref="BC17:BD18"/>
    <mergeCell ref="BE17:BE18"/>
    <mergeCell ref="BN11:BO11"/>
    <mergeCell ref="BK10:BK11"/>
    <mergeCell ref="BM10:BM11"/>
    <mergeCell ref="BI10:BI11"/>
    <mergeCell ref="BJ10:BJ11"/>
    <mergeCell ref="AY9:AY10"/>
    <mergeCell ref="AZ9:AZ10"/>
    <mergeCell ref="BA9:BA10"/>
    <mergeCell ref="BF10:BF11"/>
    <mergeCell ref="AR9:AR10"/>
    <mergeCell ref="AW9:AW10"/>
    <mergeCell ref="AX9:AX10"/>
    <mergeCell ref="AD9:AD10"/>
    <mergeCell ref="AE9:AE10"/>
    <mergeCell ref="AF9:AF10"/>
    <mergeCell ref="AO9:AP10"/>
    <mergeCell ref="AA9:AB10"/>
    <mergeCell ref="B9:B10"/>
    <mergeCell ref="C9:C10"/>
    <mergeCell ref="D9:D10"/>
    <mergeCell ref="M9:N10"/>
    <mergeCell ref="P9:P10"/>
    <mergeCell ref="Q9:Q10"/>
    <mergeCell ref="R9:R10"/>
    <mergeCell ref="P8:Q8"/>
    <mergeCell ref="AR8:AT8"/>
    <mergeCell ref="AU8:AV8"/>
    <mergeCell ref="AW8:AX8"/>
    <mergeCell ref="U8:V8"/>
    <mergeCell ref="S8:T8"/>
    <mergeCell ref="AD8:AE8"/>
    <mergeCell ref="AG8:AH8"/>
    <mergeCell ref="AI8:AJ8"/>
    <mergeCell ref="C6:D6"/>
    <mergeCell ref="H6:J6"/>
    <mergeCell ref="B8:C8"/>
    <mergeCell ref="E8:F8"/>
    <mergeCell ref="G8:H8"/>
    <mergeCell ref="AS6:AT6"/>
    <mergeCell ref="AX6:BA6"/>
    <mergeCell ref="BD6:BE6"/>
    <mergeCell ref="BI6:BL6"/>
    <mergeCell ref="E5:J5"/>
    <mergeCell ref="AU5:BA5"/>
    <mergeCell ref="BF5:BL5"/>
    <mergeCell ref="BW5:CC5"/>
    <mergeCell ref="CB3:CC3"/>
    <mergeCell ref="E4:H4"/>
    <mergeCell ref="Q4:X4"/>
    <mergeCell ref="AU4:AX4"/>
    <mergeCell ref="AZ4:BA4"/>
    <mergeCell ref="BF4:BI4"/>
    <mergeCell ref="BW4:BZ4"/>
    <mergeCell ref="AZ3:BA3"/>
    <mergeCell ref="BF3:BI3"/>
    <mergeCell ref="BK3:BL3"/>
    <mergeCell ref="BK4:BL4"/>
    <mergeCell ref="BW3:BZ3"/>
    <mergeCell ref="B2:J2"/>
    <mergeCell ref="AR2:AS2"/>
    <mergeCell ref="AU2:AW2"/>
    <mergeCell ref="E3:H3"/>
    <mergeCell ref="AU3:AX3"/>
    <mergeCell ref="BU6:BV6"/>
    <mergeCell ref="BZ6:CC6"/>
    <mergeCell ref="BN10:BO10"/>
    <mergeCell ref="BN24:BO24"/>
    <mergeCell ref="BM21:BP22"/>
    <mergeCell ref="BU8:BW8"/>
  </mergeCells>
  <conditionalFormatting sqref="C49 E49 Q49 S49 AE49 AG49 AS49 AU49 AW49">
    <cfRule type="cellIs" priority="1" dxfId="2" operator="equal" stopIfTrue="1">
      <formula>0</formula>
    </cfRule>
    <cfRule type="cellIs" priority="2" dxfId="3" operator="notBetween" stopIfTrue="1">
      <formula>C50</formula>
      <formula>C51</formula>
    </cfRule>
    <cfRule type="cellIs" priority="3" dxfId="1" operator="between" stopIfTrue="1">
      <formula>C50</formula>
      <formula>C51</formula>
    </cfRule>
  </conditionalFormatting>
  <conditionalFormatting sqref="G49 U49 AI49 AS59 AU59 AW59">
    <cfRule type="cellIs" priority="4" dxfId="2" operator="equal" stopIfTrue="1">
      <formula>0</formula>
    </cfRule>
    <cfRule type="cellIs" priority="5" dxfId="1" operator="between" stopIfTrue="1">
      <formula>G50</formula>
      <formula>G51</formula>
    </cfRule>
    <cfRule type="cellIs" priority="6" dxfId="3" operator="notBetween" stopIfTrue="1">
      <formula>G50</formula>
      <formula>G51</formula>
    </cfRule>
  </conditionalFormatting>
  <conditionalFormatting sqref="E59 G59 C59 S59 U59 Q59 AG59 AI59 AE59">
    <cfRule type="cellIs" priority="7" dxfId="2" operator="equal" stopIfTrue="1">
      <formula>0</formula>
    </cfRule>
    <cfRule type="cellIs" priority="8" dxfId="1" operator="between" stopIfTrue="1">
      <formula>C60</formula>
      <formula>C61</formula>
    </cfRule>
    <cfRule type="cellIs" priority="9" dxfId="0" operator="notBetween" stopIfTrue="1">
      <formula>C60</formula>
      <formula>C61</formula>
    </cfRule>
  </conditionalFormatting>
  <dataValidations count="1">
    <dataValidation type="list" allowBlank="1" showInputMessage="1" showErrorMessage="1" sqref="C4 AF11:AF35 D11:D35 R11:R35">
      <formula1>樹木</formula1>
    </dataValidation>
  </dataValidations>
  <printOptions/>
  <pageMargins left="0.7874015748031497" right="0.1968503937007874" top="0.984251968503937" bottom="0.984251968503937" header="0.5118110236220472" footer="0.5118110236220472"/>
  <pageSetup horizontalDpi="600" verticalDpi="600" orientation="portrait" paperSize="9" scale="60" r:id="rId4"/>
  <colBreaks count="3" manualBreakCount="3">
    <brk id="24" max="65535" man="1"/>
    <brk id="53" max="65535" man="1"/>
    <brk id="69"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4"/>
  <dimension ref="A1:CE81"/>
  <sheetViews>
    <sheetView showZeros="0" tabSelected="1" view="pageBreakPreview" zoomScale="60" workbookViewId="0" topLeftCell="A1">
      <pane xSplit="29" topLeftCell="AD1" activePane="topRight" state="frozen"/>
      <selection pane="topLeft" activeCell="A1" sqref="A1"/>
      <selection pane="topRight" activeCell="AX69" sqref="AX69"/>
    </sheetView>
  </sheetViews>
  <sheetFormatPr defaultColWidth="9.00390625" defaultRowHeight="13.5" outlineLevelCol="1"/>
  <cols>
    <col min="1" max="1" width="0.12890625" style="84" customWidth="1"/>
    <col min="2" max="9" width="7.625" style="84" customWidth="1"/>
    <col min="10" max="10" width="8.00390625" style="84" bestFit="1" customWidth="1"/>
    <col min="11" max="11" width="10.00390625" style="32" hidden="1" customWidth="1"/>
    <col min="12" max="12" width="16.00390625" style="33" hidden="1" customWidth="1"/>
    <col min="13" max="14" width="5.25390625" style="33" hidden="1" customWidth="1"/>
    <col min="15" max="15" width="1.625" style="84" customWidth="1"/>
    <col min="16" max="23" width="7.625" style="84" customWidth="1"/>
    <col min="24" max="24" width="5.25390625" style="84" bestFit="1" customWidth="1"/>
    <col min="25" max="25" width="10.00390625" style="33" hidden="1" customWidth="1"/>
    <col min="26" max="26" width="16.00390625" style="32" hidden="1" customWidth="1"/>
    <col min="27" max="28" width="5.25390625" style="86" hidden="1" customWidth="1"/>
    <col min="29" max="29" width="1.625" style="84" customWidth="1"/>
    <col min="30" max="37" width="7.625" style="84" customWidth="1"/>
    <col min="38" max="38" width="5.25390625" style="84" bestFit="1" customWidth="1"/>
    <col min="39" max="39" width="10.00390625" style="33" hidden="1" customWidth="1"/>
    <col min="40" max="40" width="16.00390625" style="32" hidden="1" customWidth="1"/>
    <col min="41" max="41" width="5.25390625" style="86" hidden="1" customWidth="1"/>
    <col min="42" max="42" width="5.25390625" style="32" hidden="1" customWidth="1"/>
    <col min="43" max="43" width="1.625" style="84" customWidth="1"/>
    <col min="44" max="45" width="7.125" style="84" customWidth="1"/>
    <col min="46" max="47" width="7.125" style="84" customWidth="1" outlineLevel="1"/>
    <col min="48" max="53" width="7.125" style="84" customWidth="1"/>
    <col min="54" max="54" width="1.625" style="84" customWidth="1"/>
    <col min="55" max="69" width="9.625" style="84" customWidth="1"/>
    <col min="70" max="70" width="1.625" style="84" customWidth="1"/>
    <col min="71" max="83" width="11.625" style="84" customWidth="1"/>
    <col min="84" max="16384" width="9.00390625" style="87" customWidth="1"/>
  </cols>
  <sheetData>
    <row r="1" spans="16:26" ht="15" thickBot="1">
      <c r="P1" s="85"/>
      <c r="Q1" s="85"/>
      <c r="R1" s="85"/>
      <c r="S1" s="85"/>
      <c r="T1" s="85"/>
      <c r="U1" s="85"/>
      <c r="V1" s="85"/>
      <c r="W1" s="85"/>
      <c r="X1" s="85"/>
      <c r="Z1" s="86"/>
    </row>
    <row r="2" spans="2:52" ht="21" thickBot="1">
      <c r="B2" s="719" t="s">
        <v>16</v>
      </c>
      <c r="C2" s="719"/>
      <c r="D2" s="719"/>
      <c r="E2" s="719"/>
      <c r="F2" s="719"/>
      <c r="G2" s="719"/>
      <c r="H2" s="719"/>
      <c r="I2" s="719"/>
      <c r="J2" s="719"/>
      <c r="K2" s="34"/>
      <c r="P2" s="88" t="s">
        <v>82</v>
      </c>
      <c r="Q2" s="89"/>
      <c r="R2" s="89"/>
      <c r="S2" s="89"/>
      <c r="T2" s="89"/>
      <c r="U2" s="922" t="s">
        <v>305</v>
      </c>
      <c r="V2" s="85"/>
      <c r="W2" s="85"/>
      <c r="X2" s="85"/>
      <c r="Z2" s="86"/>
      <c r="AF2" s="85"/>
      <c r="AG2" s="85"/>
      <c r="AH2" s="85"/>
      <c r="AI2" s="85"/>
      <c r="AJ2" s="85"/>
      <c r="AK2" s="85"/>
      <c r="AL2" s="85"/>
      <c r="AN2" s="86"/>
      <c r="AR2" s="720" t="s">
        <v>39</v>
      </c>
      <c r="AS2" s="721"/>
      <c r="AT2" s="34"/>
      <c r="AU2" s="722" t="s">
        <v>16</v>
      </c>
      <c r="AV2" s="722"/>
      <c r="AW2" s="722"/>
      <c r="AX2" s="34"/>
      <c r="AY2" s="34"/>
      <c r="AZ2" s="34"/>
    </row>
    <row r="3" spans="1:83" ht="18.75" thickBot="1">
      <c r="A3" s="39"/>
      <c r="B3" s="90" t="s">
        <v>25</v>
      </c>
      <c r="C3" s="519" t="s">
        <v>142</v>
      </c>
      <c r="D3" s="27" t="s">
        <v>13</v>
      </c>
      <c r="E3" s="715" t="s">
        <v>245</v>
      </c>
      <c r="F3" s="716"/>
      <c r="G3" s="716"/>
      <c r="H3" s="717"/>
      <c r="I3" s="29" t="s">
        <v>92</v>
      </c>
      <c r="J3" s="30">
        <v>100</v>
      </c>
      <c r="K3" s="35"/>
      <c r="L3" s="35"/>
      <c r="M3" s="35"/>
      <c r="N3" s="36"/>
      <c r="O3" s="91"/>
      <c r="P3" s="92" t="s">
        <v>86</v>
      </c>
      <c r="Q3" s="93" t="s">
        <v>94</v>
      </c>
      <c r="R3" s="915" t="s">
        <v>304</v>
      </c>
      <c r="S3" s="88" t="s">
        <v>181</v>
      </c>
      <c r="U3" s="726" t="s">
        <v>182</v>
      </c>
      <c r="V3" s="532" t="s">
        <v>180</v>
      </c>
      <c r="W3" s="88"/>
      <c r="X3" s="88"/>
      <c r="Y3" s="94"/>
      <c r="Z3" s="95"/>
      <c r="AA3" s="96"/>
      <c r="AB3" s="96"/>
      <c r="AC3" s="88"/>
      <c r="AD3" s="39"/>
      <c r="AE3" s="39"/>
      <c r="AF3" s="85"/>
      <c r="AG3" s="85"/>
      <c r="AH3" s="85"/>
      <c r="AI3" s="85"/>
      <c r="AJ3" s="85"/>
      <c r="AK3" s="85"/>
      <c r="AL3" s="85"/>
      <c r="AM3" s="97"/>
      <c r="AN3" s="86"/>
      <c r="AO3" s="97"/>
      <c r="AP3" s="43"/>
      <c r="AQ3" s="39"/>
      <c r="AR3" s="90" t="str">
        <f>B3</f>
        <v>県名</v>
      </c>
      <c r="AS3" s="98" t="str">
        <f>$C$3</f>
        <v>福井県</v>
      </c>
      <c r="AT3" s="90" t="str">
        <f aca="true" t="shared" si="0" ref="AT3:AU5">D3</f>
        <v>調査地</v>
      </c>
      <c r="AU3" s="742" t="str">
        <f t="shared" si="0"/>
        <v>大飯郡高浜町青葉山１－１</v>
      </c>
      <c r="AV3" s="743"/>
      <c r="AW3" s="743"/>
      <c r="AX3" s="744"/>
      <c r="AY3" s="90" t="str">
        <f>I3</f>
        <v>標　高</v>
      </c>
      <c r="AZ3" s="714">
        <f>J3</f>
        <v>100</v>
      </c>
      <c r="BA3" s="909"/>
      <c r="BB3" s="39"/>
      <c r="BC3" s="90" t="str">
        <f aca="true" t="shared" si="1" ref="BC3:BF4">AR3</f>
        <v>県名</v>
      </c>
      <c r="BD3" s="90" t="str">
        <f t="shared" si="1"/>
        <v>福井県</v>
      </c>
      <c r="BE3" s="90" t="str">
        <f t="shared" si="1"/>
        <v>調査地</v>
      </c>
      <c r="BF3" s="754" t="str">
        <f t="shared" si="1"/>
        <v>大飯郡高浜町青葉山１－１</v>
      </c>
      <c r="BG3" s="755"/>
      <c r="BH3" s="755"/>
      <c r="BI3" s="756"/>
      <c r="BJ3" s="90" t="str">
        <f>AY3</f>
        <v>標　高</v>
      </c>
      <c r="BK3" s="757">
        <f>AZ3</f>
        <v>100</v>
      </c>
      <c r="BL3" s="758"/>
      <c r="BM3" s="39"/>
      <c r="BN3" s="39"/>
      <c r="BO3" s="39"/>
      <c r="BP3" s="39"/>
      <c r="BQ3" s="39"/>
      <c r="BR3" s="39"/>
      <c r="BS3" s="39"/>
      <c r="BT3" s="90" t="str">
        <f aca="true" t="shared" si="2" ref="BT3:BV5">AR3</f>
        <v>県名</v>
      </c>
      <c r="BU3" s="516" t="str">
        <f t="shared" si="2"/>
        <v>福井県</v>
      </c>
      <c r="BV3" s="90" t="str">
        <f t="shared" si="2"/>
        <v>調査地</v>
      </c>
      <c r="BW3" s="742" t="str">
        <f>$E$3</f>
        <v>大飯郡高浜町青葉山１－１</v>
      </c>
      <c r="BX3" s="743"/>
      <c r="BY3" s="743"/>
      <c r="BZ3" s="744"/>
      <c r="CA3" s="90" t="str">
        <f>AY3</f>
        <v>標　高</v>
      </c>
      <c r="CB3" s="714">
        <f>AZ3</f>
        <v>100</v>
      </c>
      <c r="CC3" s="712"/>
      <c r="CD3" s="39"/>
      <c r="CE3" s="39"/>
    </row>
    <row r="4" spans="1:83" ht="18.75" thickBot="1">
      <c r="A4" s="39"/>
      <c r="B4" s="100" t="s">
        <v>187</v>
      </c>
      <c r="C4" s="914" t="s">
        <v>190</v>
      </c>
      <c r="D4" s="518" t="s">
        <v>27</v>
      </c>
      <c r="E4" s="713" t="s">
        <v>26</v>
      </c>
      <c r="F4" s="747"/>
      <c r="G4" s="747"/>
      <c r="H4" s="747"/>
      <c r="I4" s="27" t="s">
        <v>11</v>
      </c>
      <c r="J4" s="31">
        <v>1</v>
      </c>
      <c r="K4" s="37"/>
      <c r="L4" s="37"/>
      <c r="M4" s="38"/>
      <c r="N4" s="39"/>
      <c r="O4" s="91"/>
      <c r="P4" s="92" t="s">
        <v>84</v>
      </c>
      <c r="Q4" s="748" t="s">
        <v>165</v>
      </c>
      <c r="R4" s="910"/>
      <c r="S4" s="910"/>
      <c r="T4" s="910"/>
      <c r="U4" s="910"/>
      <c r="V4" s="910"/>
      <c r="W4" s="910"/>
      <c r="X4" s="910"/>
      <c r="Y4" s="101"/>
      <c r="Z4" s="102"/>
      <c r="AA4" s="101"/>
      <c r="AB4" s="101"/>
      <c r="AC4" s="88"/>
      <c r="AD4" s="39"/>
      <c r="AE4" s="39"/>
      <c r="AF4" s="39"/>
      <c r="AG4" s="39"/>
      <c r="AH4" s="39"/>
      <c r="AI4" s="39"/>
      <c r="AJ4" s="39"/>
      <c r="AK4" s="39"/>
      <c r="AL4" s="39"/>
      <c r="AM4" s="103"/>
      <c r="AN4" s="86"/>
      <c r="AO4" s="104"/>
      <c r="AP4" s="43"/>
      <c r="AQ4" s="39"/>
      <c r="AR4" s="90" t="s">
        <v>40</v>
      </c>
      <c r="AS4" s="98" t="str">
        <f>$C$4</f>
        <v>スギ</v>
      </c>
      <c r="AT4" s="90" t="str">
        <f t="shared" si="0"/>
        <v>平均傾斜角</v>
      </c>
      <c r="AU4" s="750" t="str">
        <f t="shared" si="0"/>
        <v>　15°未満 、15°～30°、 31°～40° 、 40°以上 </v>
      </c>
      <c r="AV4" s="751"/>
      <c r="AW4" s="751"/>
      <c r="AX4" s="751"/>
      <c r="AY4" s="90" t="str">
        <f>I4</f>
        <v>区域面積</v>
      </c>
      <c r="AZ4" s="752">
        <f>J4</f>
        <v>1</v>
      </c>
      <c r="BA4" s="909"/>
      <c r="BB4" s="39"/>
      <c r="BC4" s="90" t="str">
        <f t="shared" si="1"/>
        <v>樹種構成</v>
      </c>
      <c r="BD4" s="90" t="str">
        <f t="shared" si="1"/>
        <v>スギ</v>
      </c>
      <c r="BE4" s="90" t="str">
        <f t="shared" si="1"/>
        <v>平均傾斜角</v>
      </c>
      <c r="BF4" s="754" t="str">
        <f t="shared" si="1"/>
        <v>　15°未満 、15°～30°、 31°～40° 、 40°以上 </v>
      </c>
      <c r="BG4" s="755"/>
      <c r="BH4" s="755"/>
      <c r="BI4" s="756"/>
      <c r="BJ4" s="90" t="str">
        <f>AY4</f>
        <v>区域面積</v>
      </c>
      <c r="BK4" s="723">
        <f>AZ4</f>
        <v>1</v>
      </c>
      <c r="BL4" s="718"/>
      <c r="BM4" s="39"/>
      <c r="BN4" s="39"/>
      <c r="BO4" s="39"/>
      <c r="BP4" s="39"/>
      <c r="BQ4" s="39"/>
      <c r="BR4" s="39"/>
      <c r="BS4" s="39"/>
      <c r="BT4" s="90" t="str">
        <f t="shared" si="2"/>
        <v>樹種構成</v>
      </c>
      <c r="BU4" s="522" t="str">
        <f t="shared" si="2"/>
        <v>スギ</v>
      </c>
      <c r="BV4" s="111" t="str">
        <f t="shared" si="2"/>
        <v>平均傾斜角</v>
      </c>
      <c r="BW4" s="742" t="str">
        <f>$E$4</f>
        <v>　15°未満 、15°～30°、 31°～40° 、 40°以上 </v>
      </c>
      <c r="BX4" s="743"/>
      <c r="BY4" s="743"/>
      <c r="BZ4" s="744"/>
      <c r="CA4" s="90" t="str">
        <f>AY4</f>
        <v>区域面積</v>
      </c>
      <c r="CB4" s="105">
        <f>$J$4</f>
        <v>1</v>
      </c>
      <c r="CC4" s="106"/>
      <c r="CD4" s="39"/>
      <c r="CE4" s="39"/>
    </row>
    <row r="5" spans="1:83" ht="20.25">
      <c r="A5" s="39"/>
      <c r="B5" s="107" t="s">
        <v>1</v>
      </c>
      <c r="C5" s="520">
        <v>45</v>
      </c>
      <c r="D5" s="27" t="s">
        <v>118</v>
      </c>
      <c r="E5" s="759" t="s">
        <v>183</v>
      </c>
      <c r="F5" s="760"/>
      <c r="G5" s="760"/>
      <c r="H5" s="760"/>
      <c r="I5" s="760"/>
      <c r="J5" s="761"/>
      <c r="K5" s="40"/>
      <c r="L5" s="41"/>
      <c r="M5" s="41"/>
      <c r="N5" s="42"/>
      <c r="O5" s="91"/>
      <c r="P5" s="39"/>
      <c r="Q5" s="88" t="s">
        <v>166</v>
      </c>
      <c r="R5" s="88"/>
      <c r="S5" s="88"/>
      <c r="T5" s="88"/>
      <c r="U5" s="88"/>
      <c r="V5" s="88"/>
      <c r="W5" s="88"/>
      <c r="X5" s="88"/>
      <c r="Y5" s="101"/>
      <c r="Z5" s="102"/>
      <c r="AA5" s="101"/>
      <c r="AB5" s="101"/>
      <c r="AC5" s="88"/>
      <c r="AD5" s="39"/>
      <c r="AE5" s="39"/>
      <c r="AF5" s="39"/>
      <c r="AG5" s="39"/>
      <c r="AH5" s="39"/>
      <c r="AI5" s="39"/>
      <c r="AJ5" s="39"/>
      <c r="AK5" s="39"/>
      <c r="AL5" s="39"/>
      <c r="AM5" s="108"/>
      <c r="AN5" s="86"/>
      <c r="AO5" s="109"/>
      <c r="AP5" s="43"/>
      <c r="AQ5" s="39"/>
      <c r="AR5" s="107" t="s">
        <v>1</v>
      </c>
      <c r="AS5" s="110">
        <f>$C$5</f>
        <v>45</v>
      </c>
      <c r="AT5" s="90" t="str">
        <f t="shared" si="0"/>
        <v>林況</v>
      </c>
      <c r="AU5" s="742" t="str">
        <f t="shared" si="0"/>
        <v>1927年植、30年以上間伐無し</v>
      </c>
      <c r="AV5" s="908"/>
      <c r="AW5" s="908"/>
      <c r="AX5" s="908"/>
      <c r="AY5" s="908"/>
      <c r="AZ5" s="908"/>
      <c r="BA5" s="909"/>
      <c r="BB5" s="39"/>
      <c r="BC5" s="90" t="str">
        <f>AR5</f>
        <v>林　令</v>
      </c>
      <c r="BD5" s="110">
        <f>$C$5</f>
        <v>45</v>
      </c>
      <c r="BE5" s="90" t="str">
        <f>AT5</f>
        <v>林況</v>
      </c>
      <c r="BF5" s="754" t="str">
        <f>AU5</f>
        <v>1927年植、30年以上間伐無し</v>
      </c>
      <c r="BG5" s="755"/>
      <c r="BH5" s="755"/>
      <c r="BI5" s="755"/>
      <c r="BJ5" s="755"/>
      <c r="BK5" s="755"/>
      <c r="BL5" s="756"/>
      <c r="BM5" s="39"/>
      <c r="BN5" s="39"/>
      <c r="BO5" s="39"/>
      <c r="BS5" s="39"/>
      <c r="BT5" s="90" t="str">
        <f t="shared" si="2"/>
        <v>林　令</v>
      </c>
      <c r="BU5" s="517">
        <f t="shared" si="2"/>
        <v>45</v>
      </c>
      <c r="BV5" s="90" t="str">
        <f t="shared" si="2"/>
        <v>林況</v>
      </c>
      <c r="BW5" s="763" t="str">
        <f>$E$5</f>
        <v>1927年植、30年以上間伐無し</v>
      </c>
      <c r="BX5" s="764"/>
      <c r="BY5" s="764"/>
      <c r="BZ5" s="764"/>
      <c r="CA5" s="764"/>
      <c r="CB5" s="764"/>
      <c r="CC5" s="765"/>
      <c r="CD5" s="39"/>
      <c r="CE5" s="39"/>
    </row>
    <row r="6" spans="2:81" ht="15">
      <c r="B6" s="90" t="s">
        <v>115</v>
      </c>
      <c r="C6" s="715" t="s">
        <v>298</v>
      </c>
      <c r="D6" s="717"/>
      <c r="E6" s="27" t="s">
        <v>81</v>
      </c>
      <c r="F6" s="28" t="s">
        <v>161</v>
      </c>
      <c r="G6" s="27" t="s">
        <v>114</v>
      </c>
      <c r="H6" s="715" t="s">
        <v>243</v>
      </c>
      <c r="I6" s="716"/>
      <c r="J6" s="716"/>
      <c r="L6" s="41"/>
      <c r="M6" s="41"/>
      <c r="N6" s="42"/>
      <c r="O6" s="112"/>
      <c r="P6" s="92" t="s">
        <v>85</v>
      </c>
      <c r="Q6" s="88" t="s">
        <v>136</v>
      </c>
      <c r="R6" s="88"/>
      <c r="S6" s="88"/>
      <c r="T6" s="88"/>
      <c r="U6" s="88"/>
      <c r="V6" s="88"/>
      <c r="W6" s="88"/>
      <c r="X6" s="88"/>
      <c r="Y6" s="101"/>
      <c r="Z6" s="102"/>
      <c r="AA6" s="101"/>
      <c r="AB6" s="101"/>
      <c r="AC6" s="88"/>
      <c r="AF6" s="39"/>
      <c r="AG6" s="39"/>
      <c r="AH6" s="39"/>
      <c r="AI6" s="39"/>
      <c r="AJ6" s="39"/>
      <c r="AK6" s="39"/>
      <c r="AL6" s="39"/>
      <c r="AM6" s="108"/>
      <c r="AN6" s="86"/>
      <c r="AO6" s="109"/>
      <c r="AR6" s="90" t="s">
        <v>115</v>
      </c>
      <c r="AS6" s="742" t="str">
        <f>$C$6</f>
        <v>2009.9.24</v>
      </c>
      <c r="AT6" s="744"/>
      <c r="AU6" s="90" t="str">
        <f>E6</f>
        <v>傾斜方向</v>
      </c>
      <c r="AV6" s="98" t="str">
        <f>F6</f>
        <v>北東</v>
      </c>
      <c r="AW6" s="90" t="str">
        <f>G6</f>
        <v>調査者</v>
      </c>
      <c r="AX6" s="742" t="str">
        <f>H6</f>
        <v>山川　太郎</v>
      </c>
      <c r="AY6" s="743"/>
      <c r="AZ6" s="743"/>
      <c r="BA6" s="744"/>
      <c r="BC6" s="90" t="str">
        <f>AR6</f>
        <v>調査日</v>
      </c>
      <c r="BD6" s="754" t="str">
        <f>AS6</f>
        <v>2009.9.24</v>
      </c>
      <c r="BE6" s="756"/>
      <c r="BF6" s="90" t="str">
        <f>AU6</f>
        <v>傾斜方向</v>
      </c>
      <c r="BG6" s="90" t="str">
        <f>AV6</f>
        <v>北東</v>
      </c>
      <c r="BH6" s="90" t="str">
        <f>AW6</f>
        <v>調査者</v>
      </c>
      <c r="BI6" s="754" t="str">
        <f>AX6</f>
        <v>山川　太郎</v>
      </c>
      <c r="BJ6" s="755"/>
      <c r="BK6" s="755"/>
      <c r="BL6" s="756"/>
      <c r="BM6" s="39"/>
      <c r="BN6" s="39"/>
      <c r="BO6" s="39"/>
      <c r="BP6" s="39"/>
      <c r="BQ6" s="39"/>
      <c r="BR6" s="39"/>
      <c r="BT6" s="90" t="str">
        <f>AR6</f>
        <v>調査日</v>
      </c>
      <c r="BU6" s="740" t="str">
        <f>AS6</f>
        <v>2009.9.24</v>
      </c>
      <c r="BV6" s="741"/>
      <c r="BW6" s="90" t="str">
        <f>AU6</f>
        <v>傾斜方向</v>
      </c>
      <c r="BX6" s="98" t="str">
        <f>$F$6</f>
        <v>北東</v>
      </c>
      <c r="BY6" s="90" t="str">
        <f>AW6</f>
        <v>調査者</v>
      </c>
      <c r="BZ6" s="742" t="str">
        <f>$H$6</f>
        <v>山川　太郎</v>
      </c>
      <c r="CA6" s="743"/>
      <c r="CB6" s="743"/>
      <c r="CC6" s="744"/>
    </row>
    <row r="7" spans="1:83" ht="9.75" customHeight="1" thickBot="1">
      <c r="A7" s="39"/>
      <c r="B7" s="39"/>
      <c r="C7" s="39"/>
      <c r="D7" s="39"/>
      <c r="E7" s="39"/>
      <c r="F7" s="39"/>
      <c r="G7" s="39"/>
      <c r="H7" s="39"/>
      <c r="I7" s="39"/>
      <c r="J7" s="39"/>
      <c r="K7" s="43"/>
      <c r="O7" s="39"/>
      <c r="P7" s="39"/>
      <c r="Q7" s="39"/>
      <c r="R7" s="39"/>
      <c r="S7" s="39"/>
      <c r="T7" s="39"/>
      <c r="U7" s="39"/>
      <c r="V7" s="39"/>
      <c r="W7" s="39"/>
      <c r="X7" s="39"/>
      <c r="Z7" s="43"/>
      <c r="AA7" s="33"/>
      <c r="AB7" s="33"/>
      <c r="AC7" s="39"/>
      <c r="AD7" s="39"/>
      <c r="AE7" s="39"/>
      <c r="AF7" s="39"/>
      <c r="AG7" s="39"/>
      <c r="AH7" s="39"/>
      <c r="AI7" s="39"/>
      <c r="AJ7" s="39"/>
      <c r="AK7" s="39"/>
      <c r="AL7" s="39"/>
      <c r="AN7" s="43"/>
      <c r="AO7" s="33"/>
      <c r="AP7" s="33"/>
      <c r="AQ7" s="39"/>
      <c r="AR7" s="39"/>
      <c r="AS7" s="39"/>
      <c r="AT7" s="39"/>
      <c r="AU7" s="39"/>
      <c r="AV7" s="39"/>
      <c r="AW7" s="39"/>
      <c r="AX7" s="39"/>
      <c r="AY7" s="39"/>
      <c r="AZ7" s="39"/>
      <c r="BA7" s="39"/>
      <c r="BB7" s="39"/>
      <c r="BC7" s="39"/>
      <c r="BD7" s="39"/>
      <c r="BE7" s="39"/>
      <c r="BF7" s="39"/>
      <c r="BG7" s="113"/>
      <c r="BH7" s="113"/>
      <c r="BI7" s="113"/>
      <c r="BJ7" s="113"/>
      <c r="BK7" s="113"/>
      <c r="BL7" s="113"/>
      <c r="BM7" s="39"/>
      <c r="BN7" s="39"/>
      <c r="BO7" s="39"/>
      <c r="BP7" s="39"/>
      <c r="BQ7" s="39"/>
      <c r="BR7" s="39"/>
      <c r="BS7" s="39"/>
      <c r="BT7" s="39"/>
      <c r="BU7" s="39"/>
      <c r="BV7" s="39"/>
      <c r="BW7" s="39"/>
      <c r="BX7" s="39"/>
      <c r="BY7" s="39"/>
      <c r="BZ7" s="39"/>
      <c r="CA7" s="39"/>
      <c r="CB7" s="39"/>
      <c r="CC7" s="39"/>
      <c r="CD7" s="39"/>
      <c r="CE7" s="39"/>
    </row>
    <row r="8" spans="1:83" ht="21.75" thickBot="1" thickTop="1">
      <c r="A8" s="39"/>
      <c r="B8" s="754" t="s">
        <v>10</v>
      </c>
      <c r="C8" s="768"/>
      <c r="D8" s="114" t="s">
        <v>144</v>
      </c>
      <c r="E8" s="754" t="s">
        <v>33</v>
      </c>
      <c r="F8" s="768"/>
      <c r="G8" s="906">
        <v>200</v>
      </c>
      <c r="H8" s="907"/>
      <c r="I8" s="115"/>
      <c r="J8" s="116"/>
      <c r="K8" s="44"/>
      <c r="L8" s="41"/>
      <c r="M8" s="41"/>
      <c r="N8" s="45"/>
      <c r="O8" s="117"/>
      <c r="P8" s="754" t="s">
        <v>10</v>
      </c>
      <c r="Q8" s="768"/>
      <c r="R8" s="114" t="s">
        <v>143</v>
      </c>
      <c r="S8" s="754" t="s">
        <v>33</v>
      </c>
      <c r="T8" s="768"/>
      <c r="U8" s="906">
        <v>200</v>
      </c>
      <c r="V8" s="907"/>
      <c r="W8" s="118"/>
      <c r="X8" s="116"/>
      <c r="Y8" s="44"/>
      <c r="Z8" s="41"/>
      <c r="AA8" s="41"/>
      <c r="AB8" s="45"/>
      <c r="AC8" s="117"/>
      <c r="AD8" s="754" t="s">
        <v>10</v>
      </c>
      <c r="AE8" s="768"/>
      <c r="AF8" s="114">
        <v>3</v>
      </c>
      <c r="AG8" s="754" t="s">
        <v>33</v>
      </c>
      <c r="AH8" s="768"/>
      <c r="AI8" s="906"/>
      <c r="AJ8" s="907"/>
      <c r="AK8" s="118"/>
      <c r="AL8" s="116"/>
      <c r="AM8" s="44"/>
      <c r="AN8" s="41"/>
      <c r="AO8" s="41"/>
      <c r="AP8" s="45"/>
      <c r="AQ8" s="117"/>
      <c r="AR8" s="754" t="s">
        <v>70</v>
      </c>
      <c r="AS8" s="755"/>
      <c r="AT8" s="756"/>
      <c r="AU8" s="754" t="s">
        <v>33</v>
      </c>
      <c r="AV8" s="768"/>
      <c r="AW8" s="769">
        <f>G8+U8+AI8</f>
        <v>400</v>
      </c>
      <c r="AX8" s="770"/>
      <c r="AY8" s="119"/>
      <c r="AZ8" s="120"/>
      <c r="BA8" s="121"/>
      <c r="BB8" s="117"/>
      <c r="BC8" s="39"/>
      <c r="BD8" s="39"/>
      <c r="BE8" s="39"/>
      <c r="BF8" s="39"/>
      <c r="BG8" s="39"/>
      <c r="BH8" s="39"/>
      <c r="BI8" s="39"/>
      <c r="BJ8" s="39"/>
      <c r="BK8" s="39"/>
      <c r="BL8" s="39"/>
      <c r="BM8" s="39"/>
      <c r="BN8" s="39"/>
      <c r="BO8" s="39"/>
      <c r="BP8" s="39"/>
      <c r="BQ8" s="39"/>
      <c r="BR8" s="39"/>
      <c r="BS8" s="39"/>
      <c r="BT8" s="39"/>
      <c r="BU8" s="724" t="s">
        <v>160</v>
      </c>
      <c r="BV8" s="725"/>
      <c r="BW8" s="725"/>
      <c r="BX8" s="122" t="str">
        <f>AU63</f>
        <v>材積率</v>
      </c>
      <c r="BY8" s="123">
        <f>AV63</f>
        <v>0.3368707077105804</v>
      </c>
      <c r="BZ8" s="122" t="str">
        <f>AW63</f>
        <v>本数率</v>
      </c>
      <c r="CA8" s="124">
        <f>AX63</f>
        <v>0.5</v>
      </c>
      <c r="CB8" s="125"/>
      <c r="CC8" s="39"/>
      <c r="CD8" s="39"/>
      <c r="CE8" s="39"/>
    </row>
    <row r="9" spans="1:83" ht="18.75" customHeight="1" thickBot="1" thickTop="1">
      <c r="A9" s="39"/>
      <c r="B9" s="775" t="s">
        <v>38</v>
      </c>
      <c r="C9" s="777" t="s">
        <v>155</v>
      </c>
      <c r="D9" s="778" t="s">
        <v>0</v>
      </c>
      <c r="E9" s="126" t="s">
        <v>2</v>
      </c>
      <c r="F9" s="126" t="s">
        <v>12</v>
      </c>
      <c r="G9" s="126" t="s">
        <v>18</v>
      </c>
      <c r="H9" s="126" t="s">
        <v>7</v>
      </c>
      <c r="I9" s="127" t="s">
        <v>4</v>
      </c>
      <c r="J9" s="128" t="s">
        <v>73</v>
      </c>
      <c r="K9" s="46" t="s">
        <v>34</v>
      </c>
      <c r="L9" s="47" t="s">
        <v>19</v>
      </c>
      <c r="M9" s="780" t="s">
        <v>44</v>
      </c>
      <c r="N9" s="780"/>
      <c r="O9" s="39"/>
      <c r="P9" s="775" t="s">
        <v>38</v>
      </c>
      <c r="Q9" s="777" t="s">
        <v>155</v>
      </c>
      <c r="R9" s="781" t="s">
        <v>0</v>
      </c>
      <c r="S9" s="126" t="s">
        <v>2</v>
      </c>
      <c r="T9" s="126" t="s">
        <v>12</v>
      </c>
      <c r="U9" s="126" t="s">
        <v>18</v>
      </c>
      <c r="V9" s="126" t="s">
        <v>7</v>
      </c>
      <c r="W9" s="127" t="s">
        <v>4</v>
      </c>
      <c r="X9" s="128" t="s">
        <v>73</v>
      </c>
      <c r="Y9" s="46" t="s">
        <v>34</v>
      </c>
      <c r="Z9" s="47" t="s">
        <v>19</v>
      </c>
      <c r="AA9" s="771" t="s">
        <v>44</v>
      </c>
      <c r="AB9" s="772"/>
      <c r="AC9" s="39"/>
      <c r="AD9" s="775" t="s">
        <v>38</v>
      </c>
      <c r="AE9" s="777" t="s">
        <v>155</v>
      </c>
      <c r="AF9" s="778" t="s">
        <v>0</v>
      </c>
      <c r="AG9" s="126" t="s">
        <v>2</v>
      </c>
      <c r="AH9" s="126" t="s">
        <v>12</v>
      </c>
      <c r="AI9" s="126" t="s">
        <v>18</v>
      </c>
      <c r="AJ9" s="126" t="s">
        <v>7</v>
      </c>
      <c r="AK9" s="127" t="s">
        <v>4</v>
      </c>
      <c r="AL9" s="128" t="s">
        <v>73</v>
      </c>
      <c r="AM9" s="46" t="s">
        <v>34</v>
      </c>
      <c r="AN9" s="47" t="s">
        <v>19</v>
      </c>
      <c r="AO9" s="771" t="s">
        <v>44</v>
      </c>
      <c r="AP9" s="772"/>
      <c r="AQ9" s="39"/>
      <c r="AR9" s="783" t="s">
        <v>162</v>
      </c>
      <c r="AS9" s="126" t="s">
        <v>2</v>
      </c>
      <c r="AT9" s="126" t="s">
        <v>75</v>
      </c>
      <c r="AU9" s="126" t="s">
        <v>78</v>
      </c>
      <c r="AV9" s="126" t="s">
        <v>68</v>
      </c>
      <c r="AW9" s="781"/>
      <c r="AX9" s="781"/>
      <c r="AY9" s="781"/>
      <c r="AZ9" s="781"/>
      <c r="BA9" s="785"/>
      <c r="BB9" s="39"/>
      <c r="BC9" s="129" t="s">
        <v>140</v>
      </c>
      <c r="BD9" s="39"/>
      <c r="BE9" s="39"/>
      <c r="BF9" s="39"/>
      <c r="BG9" s="39"/>
      <c r="BH9" s="39"/>
      <c r="BI9" s="39"/>
      <c r="BJ9" s="39"/>
      <c r="BK9" s="39"/>
      <c r="BL9" s="39"/>
      <c r="BM9" s="130" t="s">
        <v>158</v>
      </c>
      <c r="BN9" s="39"/>
      <c r="BO9" s="39"/>
      <c r="BP9" s="39"/>
      <c r="BQ9" s="39"/>
      <c r="BR9" s="39"/>
      <c r="BS9" s="39"/>
      <c r="BT9" s="39"/>
      <c r="BU9" s="39"/>
      <c r="BV9" s="39"/>
      <c r="BW9" s="39"/>
      <c r="BX9" s="39"/>
      <c r="BY9" s="39"/>
      <c r="BZ9" s="39"/>
      <c r="CA9" s="39"/>
      <c r="CB9" s="39"/>
      <c r="CC9" s="39"/>
      <c r="CD9" s="39"/>
      <c r="CE9" s="39"/>
    </row>
    <row r="10" spans="1:83" ht="14.25" customHeight="1">
      <c r="A10" s="39"/>
      <c r="B10" s="776"/>
      <c r="C10" s="777"/>
      <c r="D10" s="779"/>
      <c r="E10" s="132" t="s">
        <v>6</v>
      </c>
      <c r="F10" s="132" t="s">
        <v>17</v>
      </c>
      <c r="G10" s="132" t="s">
        <v>17</v>
      </c>
      <c r="H10" s="132" t="s">
        <v>8</v>
      </c>
      <c r="I10" s="133" t="s">
        <v>9</v>
      </c>
      <c r="J10" s="134"/>
      <c r="K10" s="48" t="s">
        <v>17</v>
      </c>
      <c r="L10" s="48" t="s">
        <v>41</v>
      </c>
      <c r="M10" s="780"/>
      <c r="N10" s="780"/>
      <c r="O10" s="39"/>
      <c r="P10" s="776"/>
      <c r="Q10" s="777"/>
      <c r="R10" s="782"/>
      <c r="S10" s="132" t="s">
        <v>6</v>
      </c>
      <c r="T10" s="132" t="s">
        <v>17</v>
      </c>
      <c r="U10" s="132" t="s">
        <v>17</v>
      </c>
      <c r="V10" s="132" t="s">
        <v>8</v>
      </c>
      <c r="W10" s="133" t="s">
        <v>9</v>
      </c>
      <c r="X10" s="134"/>
      <c r="Y10" s="48" t="s">
        <v>17</v>
      </c>
      <c r="Z10" s="48" t="s">
        <v>41</v>
      </c>
      <c r="AA10" s="773"/>
      <c r="AB10" s="774"/>
      <c r="AC10" s="39"/>
      <c r="AD10" s="776"/>
      <c r="AE10" s="777"/>
      <c r="AF10" s="779"/>
      <c r="AG10" s="132" t="s">
        <v>6</v>
      </c>
      <c r="AH10" s="132" t="s">
        <v>17</v>
      </c>
      <c r="AI10" s="132" t="s">
        <v>17</v>
      </c>
      <c r="AJ10" s="132" t="s">
        <v>8</v>
      </c>
      <c r="AK10" s="133" t="s">
        <v>9</v>
      </c>
      <c r="AL10" s="134"/>
      <c r="AM10" s="48" t="s">
        <v>17</v>
      </c>
      <c r="AN10" s="48" t="s">
        <v>41</v>
      </c>
      <c r="AO10" s="773"/>
      <c r="AP10" s="774"/>
      <c r="AQ10" s="39"/>
      <c r="AR10" s="784"/>
      <c r="AS10" s="132" t="s">
        <v>6</v>
      </c>
      <c r="AT10" s="131" t="s">
        <v>259</v>
      </c>
      <c r="AU10" s="131" t="s">
        <v>69</v>
      </c>
      <c r="AV10" s="131" t="s">
        <v>67</v>
      </c>
      <c r="AW10" s="782"/>
      <c r="AX10" s="782"/>
      <c r="AY10" s="782"/>
      <c r="AZ10" s="782"/>
      <c r="BA10" s="786"/>
      <c r="BB10" s="39"/>
      <c r="BC10" s="135"/>
      <c r="BD10" s="136"/>
      <c r="BE10" s="137"/>
      <c r="BF10" s="787" t="s">
        <v>135</v>
      </c>
      <c r="BG10" s="789" t="s">
        <v>97</v>
      </c>
      <c r="BH10" s="789" t="s">
        <v>101</v>
      </c>
      <c r="BI10" s="802" t="s">
        <v>137</v>
      </c>
      <c r="BJ10" s="789" t="s">
        <v>2</v>
      </c>
      <c r="BK10" s="798" t="s">
        <v>108</v>
      </c>
      <c r="BL10" s="39"/>
      <c r="BM10" s="800" t="s">
        <v>149</v>
      </c>
      <c r="BN10" s="745" t="s">
        <v>248</v>
      </c>
      <c r="BO10" s="741"/>
      <c r="BP10" s="39"/>
      <c r="BQ10" s="39"/>
      <c r="BR10" s="138"/>
      <c r="BS10" s="39"/>
      <c r="BT10" s="39"/>
      <c r="BU10" s="791" t="s">
        <v>145</v>
      </c>
      <c r="BV10" s="791"/>
      <c r="BW10" s="791"/>
      <c r="BX10" s="791"/>
      <c r="BY10" s="791"/>
      <c r="BZ10" s="791"/>
      <c r="CA10" s="791"/>
      <c r="CB10" s="791"/>
      <c r="CC10" s="39"/>
      <c r="CD10" s="39"/>
      <c r="CE10" s="39"/>
    </row>
    <row r="11" spans="1:83" ht="18" customHeight="1" thickBot="1">
      <c r="A11" s="39"/>
      <c r="B11" s="99" t="s">
        <v>139</v>
      </c>
      <c r="C11" s="727"/>
      <c r="D11" s="728" t="s">
        <v>190</v>
      </c>
      <c r="E11" s="729">
        <v>41.7</v>
      </c>
      <c r="F11" s="729">
        <v>24.5</v>
      </c>
      <c r="G11" s="729">
        <v>15.3</v>
      </c>
      <c r="H11" s="139">
        <f>IF(LEN(E11)*LEN(D11)=0,"",Zaiseki(D11,E11,F$37))</f>
        <v>1.3338350057601929</v>
      </c>
      <c r="I11" s="140">
        <f>((E11^2)/4*3.14/10000)</f>
        <v>0.13650286500000003</v>
      </c>
      <c r="J11" s="141"/>
      <c r="K11" s="49"/>
      <c r="L11" s="50" t="str">
        <f aca="true" t="shared" si="3" ref="L11:L35">IF(E11="","",IF(E11&gt;E$37,"○","△"))</f>
        <v>○</v>
      </c>
      <c r="M11" s="51" t="str">
        <f aca="true" t="shared" si="4" ref="M11:M35">IF(AND(L11="○",F11&gt;0),"○有",IF(AND(L11="△",F11&gt;0),"△有","　"))</f>
        <v>○有</v>
      </c>
      <c r="N11" s="51" t="str">
        <f aca="true" t="shared" si="5" ref="N11:N35">IF(AND(C11="×",F11&gt;0),"×有",IF(AND(C11="○",G11&gt;0),"○有","　"))</f>
        <v>　</v>
      </c>
      <c r="O11" s="39"/>
      <c r="P11" s="99" t="s">
        <v>139</v>
      </c>
      <c r="Q11" s="727"/>
      <c r="R11" s="728" t="s">
        <v>190</v>
      </c>
      <c r="S11" s="729">
        <v>36.2</v>
      </c>
      <c r="T11" s="729">
        <v>25.3</v>
      </c>
      <c r="U11" s="729">
        <v>15.8</v>
      </c>
      <c r="V11" s="139">
        <f>IF(LEN(S11)*LEN(R11)=0,"",Zaiseki(R11,S11,T$37))</f>
        <v>0.980785071849823</v>
      </c>
      <c r="W11" s="140">
        <f>(S11^2)/4*3.14/10000</f>
        <v>0.10286954000000002</v>
      </c>
      <c r="X11" s="141"/>
      <c r="Y11" s="49"/>
      <c r="Z11" s="50" t="str">
        <f aca="true" t="shared" si="6" ref="Z11:Z35">IF(S11="","",IF(S11&gt;S$37,"○","△"))</f>
        <v>○</v>
      </c>
      <c r="AA11" s="51" t="str">
        <f aca="true" t="shared" si="7" ref="AA11:AA35">IF(AND(Z11="○",T11&gt;0),"○有",IF(AND(Z11="△",T11&gt;0),"△有","　"))</f>
        <v>○有</v>
      </c>
      <c r="AB11" s="51" t="str">
        <f aca="true" t="shared" si="8" ref="AB11:AB35">IF(AND(Q11="×",T11&gt;0),"×有",IF(AND(Q11="○",U11&gt;0),"○有","　"))</f>
        <v>　</v>
      </c>
      <c r="AC11" s="39"/>
      <c r="AD11" s="99">
        <v>1</v>
      </c>
      <c r="AE11" s="727"/>
      <c r="AF11" s="728"/>
      <c r="AG11" s="729"/>
      <c r="AH11" s="729"/>
      <c r="AI11" s="729"/>
      <c r="AJ11" s="139">
        <f>IF(LEN(AG11)*LEN(AF11)=0,"",Zaiseki(AF11,AG11,AH$37))</f>
      </c>
      <c r="AK11" s="140">
        <f>(AG11^2)/4*3.14/10000</f>
        <v>0</v>
      </c>
      <c r="AL11" s="142"/>
      <c r="AM11" s="49"/>
      <c r="AN11" s="50">
        <f aca="true" t="shared" si="9" ref="AN11:AN35">IF(AG11="","",IF(AG11&gt;AG$37,"○","△"))</f>
      </c>
      <c r="AO11" s="51" t="str">
        <f aca="true" t="shared" si="10" ref="AO11:AO35">IF(AND(AN11="○",AH11&gt;0),"○有",IF(AND(AN11="△",AH11&gt;0),"△有","　"))</f>
        <v>　</v>
      </c>
      <c r="AP11" s="51" t="str">
        <f aca="true" t="shared" si="11" ref="AP11:AP35">IF(AND(AE11="×",AH11&gt;0),"×有",IF(AND(AE11="○",AI11&gt;0),"○有","　"))</f>
        <v>　</v>
      </c>
      <c r="AQ11" s="39"/>
      <c r="AR11" s="99"/>
      <c r="AS11" s="143" t="s">
        <v>71</v>
      </c>
      <c r="AT11" s="144">
        <f>COUNTIF(E11:E35,"&lt;12")+COUNTIF(S11:S35,"&lt;12")+COUNTIF(AG11:AG35,"&lt;12")</f>
        <v>0</v>
      </c>
      <c r="AU11" s="144">
        <f>SUMPRODUCT(($E$11:$E$35&lt;12)*($C$11:$C$35="×"))+SUMPRODUCT(($S$11:$S$35&lt;12)*($Q$11:$Q$35="×"))+SUMPRODUCT(($AG$11:$AG$35&lt;12)*($AE$11:$AE$35="×"))</f>
        <v>0</v>
      </c>
      <c r="AV11" s="144">
        <f>AT11-AU11</f>
        <v>0</v>
      </c>
      <c r="AW11" s="143"/>
      <c r="AX11" s="145"/>
      <c r="AY11" s="146"/>
      <c r="AZ11" s="147"/>
      <c r="BA11" s="148"/>
      <c r="BB11" s="39"/>
      <c r="BC11" s="149"/>
      <c r="BD11" s="150"/>
      <c r="BE11" s="151"/>
      <c r="BF11" s="788"/>
      <c r="BG11" s="790"/>
      <c r="BH11" s="790"/>
      <c r="BI11" s="803"/>
      <c r="BJ11" s="790"/>
      <c r="BK11" s="799"/>
      <c r="BL11" s="39"/>
      <c r="BM11" s="801"/>
      <c r="BN11" s="745" t="s">
        <v>246</v>
      </c>
      <c r="BO11" s="741"/>
      <c r="BP11" s="39"/>
      <c r="BQ11" s="39"/>
      <c r="BR11" s="138"/>
      <c r="BS11" s="39"/>
      <c r="BT11" s="39"/>
      <c r="BU11" s="791"/>
      <c r="BV11" s="791"/>
      <c r="BW11" s="791"/>
      <c r="BX11" s="791"/>
      <c r="BY11" s="791"/>
      <c r="BZ11" s="791"/>
      <c r="CA11" s="791"/>
      <c r="CB11" s="791"/>
      <c r="CC11" s="39"/>
      <c r="CD11" s="39"/>
      <c r="CE11" s="39"/>
    </row>
    <row r="12" spans="1:83" ht="18">
      <c r="A12" s="39"/>
      <c r="B12" s="99">
        <v>2</v>
      </c>
      <c r="C12" s="730"/>
      <c r="D12" s="731" t="s">
        <v>190</v>
      </c>
      <c r="E12" s="729">
        <v>56</v>
      </c>
      <c r="F12" s="729"/>
      <c r="G12" s="729"/>
      <c r="H12" s="139">
        <f aca="true" t="shared" si="12" ref="H12:H35">IF(LEN(E12)*LEN(D12)=0,"",Zaiseki(D12,E12,F$37))</f>
        <v>2.285851001739502</v>
      </c>
      <c r="I12" s="140">
        <f aca="true" t="shared" si="13" ref="I12:I35">((E12^2)/4*3.14/10000)</f>
        <v>0.24617600000000003</v>
      </c>
      <c r="J12" s="141"/>
      <c r="K12" s="49"/>
      <c r="L12" s="50" t="str">
        <f t="shared" si="3"/>
        <v>○</v>
      </c>
      <c r="M12" s="51" t="str">
        <f t="shared" si="4"/>
        <v>　</v>
      </c>
      <c r="N12" s="51" t="str">
        <f t="shared" si="5"/>
        <v>　</v>
      </c>
      <c r="O12" s="39"/>
      <c r="P12" s="99">
        <v>2</v>
      </c>
      <c r="Q12" s="730" t="s">
        <v>156</v>
      </c>
      <c r="R12" s="731" t="s">
        <v>119</v>
      </c>
      <c r="S12" s="729">
        <v>31.7</v>
      </c>
      <c r="T12" s="729"/>
      <c r="U12" s="729"/>
      <c r="V12" s="139">
        <f aca="true" t="shared" si="14" ref="V12:V35">IF(LEN(S12)*LEN(R12)=0,"",Zaiseki(R12,S12,T$37))</f>
        <v>0.7695748209953308</v>
      </c>
      <c r="W12" s="140">
        <f aca="true" t="shared" si="15" ref="W12:W35">(S12^2)/4*3.14/10000</f>
        <v>0.078883865</v>
      </c>
      <c r="X12" s="141"/>
      <c r="Y12" s="49"/>
      <c r="Z12" s="50" t="str">
        <f t="shared" si="6"/>
        <v>○</v>
      </c>
      <c r="AA12" s="51" t="str">
        <f t="shared" si="7"/>
        <v>　</v>
      </c>
      <c r="AB12" s="51" t="str">
        <f t="shared" si="8"/>
        <v>　</v>
      </c>
      <c r="AC12" s="39"/>
      <c r="AD12" s="99">
        <v>2</v>
      </c>
      <c r="AE12" s="730"/>
      <c r="AF12" s="731"/>
      <c r="AG12" s="729"/>
      <c r="AH12" s="729"/>
      <c r="AI12" s="729"/>
      <c r="AJ12" s="139">
        <f aca="true" t="shared" si="16" ref="AJ12:AJ35">IF(LEN(AG12)*LEN(AF12)=0,"",Zaiseki(AF12,AG12,AH$37))</f>
      </c>
      <c r="AK12" s="140">
        <f>(AG12^2)/4*3.14/10000</f>
        <v>0</v>
      </c>
      <c r="AL12" s="142"/>
      <c r="AM12" s="49"/>
      <c r="AN12" s="50">
        <f t="shared" si="9"/>
      </c>
      <c r="AO12" s="51" t="str">
        <f t="shared" si="10"/>
        <v>　</v>
      </c>
      <c r="AP12" s="51" t="str">
        <f t="shared" si="11"/>
        <v>　</v>
      </c>
      <c r="AQ12" s="39"/>
      <c r="AR12" s="99"/>
      <c r="AS12" s="143" t="s">
        <v>47</v>
      </c>
      <c r="AT12" s="144">
        <f>(COUNTIF(E11:E35,"&gt;=12")-COUNTIF(E11:E35,"&gt;=14"))+(COUNTIF(S11:S35,"&gt;=12")-COUNTIF(S11:S35,"&gt;=14"))+(COUNTIF(AG11:AG35,"&gt;=12")-COUNTIF(AG11:AG35,"&gt;=14"))</f>
        <v>1</v>
      </c>
      <c r="AU12" s="144">
        <f>SUMPRODUCT(($E$11:$E$35&gt;=12)*($E$11:$E$35&lt;14)*($C$11:$C$35="×"))+SUMPRODUCT(($S$11:$S$35&gt;=12)*($S$11:$S$35&lt;14)*($Q$11:$Q$35="×"))+SUMPRODUCT(($AG$11:$AG$35&gt;=12)*($AG$11:$AG$35&lt;14)*($AE$11:$AE$35="×"))</f>
        <v>1</v>
      </c>
      <c r="AV12" s="144">
        <f aca="true" t="shared" si="17" ref="AV12:AV32">AT12-AU12</f>
        <v>0</v>
      </c>
      <c r="AW12" s="143"/>
      <c r="AX12" s="145"/>
      <c r="AY12" s="146"/>
      <c r="AZ12" s="147"/>
      <c r="BA12" s="148"/>
      <c r="BB12" s="39"/>
      <c r="BC12" s="152"/>
      <c r="BD12" s="153"/>
      <c r="BE12" s="154" t="s">
        <v>99</v>
      </c>
      <c r="BF12" s="735">
        <f>VLOOKUP(BD15,'条件'!$B$12:$D$20,'条件'!$G$13,TRUE)</f>
        <v>90</v>
      </c>
      <c r="BG12" s="155">
        <v>0.4</v>
      </c>
      <c r="BH12" s="156">
        <f>BF12/((CA68/2)^2*PI())</f>
        <v>1127.3321631841063</v>
      </c>
      <c r="BI12" s="157">
        <f>$AT$47</f>
        <v>22.842857142857138</v>
      </c>
      <c r="BJ12" s="158">
        <f>((BI12/(BK12*4/8))*2)</f>
        <v>0.8306493506493505</v>
      </c>
      <c r="BK12" s="736">
        <f>VLOOKUP(BD15,'条件'!$B$26:$D$35,'条件'!$G$13,TRUE)</f>
        <v>110</v>
      </c>
      <c r="BL12" s="39"/>
      <c r="BM12" s="159" t="s">
        <v>150</v>
      </c>
      <c r="BN12" s="160">
        <v>40</v>
      </c>
      <c r="BO12" s="161">
        <v>55</v>
      </c>
      <c r="BP12" s="39"/>
      <c r="BQ12" s="39"/>
      <c r="BR12" s="162"/>
      <c r="BS12" s="808"/>
      <c r="BT12" s="808"/>
      <c r="BU12" s="39"/>
      <c r="BV12" s="39"/>
      <c r="BW12" s="39"/>
      <c r="BX12" s="39"/>
      <c r="BY12" s="39"/>
      <c r="BZ12" s="39"/>
      <c r="CA12" s="39"/>
      <c r="CB12" s="39"/>
      <c r="CC12" s="39"/>
      <c r="CD12" s="39"/>
      <c r="CE12" s="39"/>
    </row>
    <row r="13" spans="1:83" ht="18">
      <c r="A13" s="39"/>
      <c r="B13" s="99">
        <v>3</v>
      </c>
      <c r="C13" s="730" t="s">
        <v>156</v>
      </c>
      <c r="D13" s="731" t="s">
        <v>192</v>
      </c>
      <c r="E13" s="729">
        <v>27.4</v>
      </c>
      <c r="F13" s="729"/>
      <c r="G13" s="729"/>
      <c r="H13" s="139">
        <f t="shared" si="12"/>
        <v>0.6942033767700195</v>
      </c>
      <c r="I13" s="140">
        <f t="shared" si="13"/>
        <v>0.05893466</v>
      </c>
      <c r="J13" s="141"/>
      <c r="K13" s="49"/>
      <c r="L13" s="50" t="str">
        <f t="shared" si="3"/>
        <v>△</v>
      </c>
      <c r="M13" s="51" t="str">
        <f t="shared" si="4"/>
        <v>　</v>
      </c>
      <c r="N13" s="51" t="str">
        <f t="shared" si="5"/>
        <v>　</v>
      </c>
      <c r="O13" s="39"/>
      <c r="P13" s="99">
        <v>3</v>
      </c>
      <c r="Q13" s="730" t="s">
        <v>156</v>
      </c>
      <c r="R13" s="731" t="s">
        <v>119</v>
      </c>
      <c r="S13" s="729">
        <v>36.1</v>
      </c>
      <c r="T13" s="729"/>
      <c r="U13" s="729"/>
      <c r="V13" s="139">
        <f t="shared" si="14"/>
        <v>0.9758407473564148</v>
      </c>
      <c r="W13" s="140">
        <f t="shared" si="15"/>
        <v>0.102301985</v>
      </c>
      <c r="X13" s="141"/>
      <c r="Y13" s="49"/>
      <c r="Z13" s="50" t="str">
        <f t="shared" si="6"/>
        <v>○</v>
      </c>
      <c r="AA13" s="51" t="str">
        <f t="shared" si="7"/>
        <v>　</v>
      </c>
      <c r="AB13" s="51" t="str">
        <f t="shared" si="8"/>
        <v>　</v>
      </c>
      <c r="AC13" s="39"/>
      <c r="AD13" s="99">
        <v>3</v>
      </c>
      <c r="AE13" s="730"/>
      <c r="AF13" s="731"/>
      <c r="AG13" s="729"/>
      <c r="AH13" s="729"/>
      <c r="AI13" s="729"/>
      <c r="AJ13" s="139">
        <f t="shared" si="16"/>
      </c>
      <c r="AK13" s="140">
        <f aca="true" t="shared" si="18" ref="AK13:AK35">(AG13^2)/4*3.14/10000</f>
        <v>0</v>
      </c>
      <c r="AL13" s="142"/>
      <c r="AM13" s="49"/>
      <c r="AN13" s="50">
        <f t="shared" si="9"/>
      </c>
      <c r="AO13" s="51" t="str">
        <f t="shared" si="10"/>
        <v>　</v>
      </c>
      <c r="AP13" s="51" t="str">
        <f t="shared" si="11"/>
        <v>　</v>
      </c>
      <c r="AQ13" s="39"/>
      <c r="AR13" s="99"/>
      <c r="AS13" s="143" t="s">
        <v>48</v>
      </c>
      <c r="AT13" s="144">
        <f>(COUNTIF(E11:E35,"&gt;=14")-COUNTIF(E11:E35,"&gt;=16"))+(COUNTIF(S11:S35,"&gt;=14")-COUNTIF(S11:S35,"&gt;=16"))+(COUNTIF(AG11:AG35,"&gt;=14")-COUNTIF(AG11:AG35,"&gt;=16"))</f>
        <v>1</v>
      </c>
      <c r="AU13" s="144">
        <f>SUMPRODUCT(($E$11:$E$35&gt;=14)*($E$11:$E$35&lt;16)*($C$11:$C$35="×"))+SUMPRODUCT(($S$11:$S$35&gt;=14)*($S$11:$S$35&lt;16)*($Q$11:$Q$35="×"))+SUMPRODUCT(($AG$11:$AG$35&gt;=14)*($AG$11:$AG$35&lt;16)*($AE$11:$AE$35="×"))</f>
        <v>1</v>
      </c>
      <c r="AV13" s="144">
        <f t="shared" si="17"/>
        <v>0</v>
      </c>
      <c r="AW13" s="143"/>
      <c r="AX13" s="145"/>
      <c r="AY13" s="146"/>
      <c r="AZ13" s="147"/>
      <c r="BA13" s="148"/>
      <c r="BB13" s="39"/>
      <c r="BC13" s="792" t="str">
        <f>BC45</f>
        <v>間伐前</v>
      </c>
      <c r="BD13" s="793"/>
      <c r="BE13" s="796" t="s">
        <v>103</v>
      </c>
      <c r="BF13" s="163">
        <f>(BF12-BF15)*0.62</f>
        <v>55.8</v>
      </c>
      <c r="BG13" s="164" t="s">
        <v>153</v>
      </c>
      <c r="BH13" s="165">
        <f>BH12*0.62</f>
        <v>698.9459411741459</v>
      </c>
      <c r="BI13" s="166">
        <f>$AT$47*0.62</f>
        <v>14.162571428571425</v>
      </c>
      <c r="BJ13" s="167">
        <f>(BJ12-BJ15)*0.62+BJ15</f>
        <v>0.5150025974025974</v>
      </c>
      <c r="BK13" s="168">
        <f>BK12*0.62</f>
        <v>68.2</v>
      </c>
      <c r="BL13" s="39"/>
      <c r="BM13" s="169" t="s">
        <v>109</v>
      </c>
      <c r="BN13" s="160">
        <v>50</v>
      </c>
      <c r="BO13" s="170">
        <v>65</v>
      </c>
      <c r="BP13" s="39"/>
      <c r="BQ13" s="39"/>
      <c r="BR13" s="171"/>
      <c r="BS13" s="39"/>
      <c r="BT13" s="39"/>
      <c r="BU13" s="39"/>
      <c r="BV13" s="39"/>
      <c r="BW13" s="39"/>
      <c r="BX13" s="39"/>
      <c r="BY13" s="39"/>
      <c r="BZ13" s="39"/>
      <c r="CA13" s="39"/>
      <c r="CB13" s="39"/>
      <c r="CC13" s="39"/>
      <c r="CD13" s="39"/>
      <c r="CE13" s="39"/>
    </row>
    <row r="14" spans="1:83" ht="18">
      <c r="A14" s="39"/>
      <c r="B14" s="99">
        <v>4</v>
      </c>
      <c r="C14" s="730"/>
      <c r="D14" s="731" t="s">
        <v>119</v>
      </c>
      <c r="E14" s="729">
        <v>36.9</v>
      </c>
      <c r="F14" s="729">
        <v>24.8</v>
      </c>
      <c r="G14" s="729">
        <v>14.4</v>
      </c>
      <c r="H14" s="139">
        <f t="shared" si="12"/>
        <v>1.0667750835418701</v>
      </c>
      <c r="I14" s="140">
        <f t="shared" si="13"/>
        <v>0.106886385</v>
      </c>
      <c r="J14" s="141"/>
      <c r="K14" s="49"/>
      <c r="L14" s="50" t="str">
        <f t="shared" si="3"/>
        <v>○</v>
      </c>
      <c r="M14" s="51" t="str">
        <f t="shared" si="4"/>
        <v>○有</v>
      </c>
      <c r="N14" s="51" t="str">
        <f t="shared" si="5"/>
        <v>　</v>
      </c>
      <c r="O14" s="39"/>
      <c r="P14" s="99">
        <v>4</v>
      </c>
      <c r="Q14" s="730"/>
      <c r="R14" s="731" t="s">
        <v>119</v>
      </c>
      <c r="S14" s="729">
        <v>33.3</v>
      </c>
      <c r="T14" s="729"/>
      <c r="U14" s="729"/>
      <c r="V14" s="139">
        <f t="shared" si="14"/>
        <v>0.8420159220695496</v>
      </c>
      <c r="W14" s="140">
        <f t="shared" si="15"/>
        <v>0.08704786499999999</v>
      </c>
      <c r="X14" s="141"/>
      <c r="Y14" s="49"/>
      <c r="Z14" s="50" t="str">
        <f t="shared" si="6"/>
        <v>○</v>
      </c>
      <c r="AA14" s="51" t="str">
        <f t="shared" si="7"/>
        <v>　</v>
      </c>
      <c r="AB14" s="51" t="str">
        <f t="shared" si="8"/>
        <v>　</v>
      </c>
      <c r="AC14" s="39"/>
      <c r="AD14" s="99">
        <v>4</v>
      </c>
      <c r="AE14" s="730"/>
      <c r="AF14" s="731"/>
      <c r="AG14" s="729"/>
      <c r="AH14" s="729"/>
      <c r="AI14" s="729"/>
      <c r="AJ14" s="139">
        <f t="shared" si="16"/>
      </c>
      <c r="AK14" s="140">
        <f t="shared" si="18"/>
        <v>0</v>
      </c>
      <c r="AL14" s="142"/>
      <c r="AM14" s="49"/>
      <c r="AN14" s="50">
        <f t="shared" si="9"/>
      </c>
      <c r="AO14" s="51" t="str">
        <f t="shared" si="10"/>
        <v>　</v>
      </c>
      <c r="AP14" s="51" t="str">
        <f t="shared" si="11"/>
        <v>　</v>
      </c>
      <c r="AQ14" s="39"/>
      <c r="AR14" s="99"/>
      <c r="AS14" s="143" t="s">
        <v>49</v>
      </c>
      <c r="AT14" s="144">
        <f>(COUNTIF(E11:E35,"&gt;=16")-COUNTIF(E11:E35,"&gt;=18"))+(COUNTIF(S11:S35,"&gt;=16")-COUNTIF(S11:S35,"&gt;=18"))+(COUNTIF(AG11:AG35,"&gt;=16")-COUNTIF(AG11:AG35,"&gt;=18"))</f>
        <v>1</v>
      </c>
      <c r="AU14" s="144">
        <f>SUMPRODUCT(($E$11:$E$35&gt;=16)*($E$11:$E$35&lt;18)*($C$11:$C$35="×"))+SUMPRODUCT(($S$11:$S$35&gt;=16)*($S$11:$S$35&lt;18)*($Q$11:$Q$35="×"))+SUMPRODUCT(($AG$11:$AG$35&gt;=16)*($AG$11:$AG$35&lt;18)*($AE$11:$AE$35="×"))</f>
        <v>1</v>
      </c>
      <c r="AV14" s="144">
        <f t="shared" si="17"/>
        <v>0</v>
      </c>
      <c r="AW14" s="143"/>
      <c r="AX14" s="145"/>
      <c r="AY14" s="146"/>
      <c r="AZ14" s="147"/>
      <c r="BA14" s="148"/>
      <c r="BB14" s="39"/>
      <c r="BC14" s="792"/>
      <c r="BD14" s="793"/>
      <c r="BE14" s="797"/>
      <c r="BF14" s="172">
        <f>BF12*0.38</f>
        <v>34.2</v>
      </c>
      <c r="BG14" s="173" t="s">
        <v>154</v>
      </c>
      <c r="BH14" s="174">
        <f>BH12*0.38</f>
        <v>428.3862220099604</v>
      </c>
      <c r="BI14" s="175">
        <f>$AT$47*0.38</f>
        <v>8.680285714285713</v>
      </c>
      <c r="BJ14" s="176">
        <f>(BJ12-BJ15)*0.38+BJ15</f>
        <v>0.31564675324675323</v>
      </c>
      <c r="BK14" s="177">
        <f>BK12*0.38</f>
        <v>41.8</v>
      </c>
      <c r="BL14" s="39"/>
      <c r="BM14" s="169" t="s">
        <v>110</v>
      </c>
      <c r="BN14" s="160">
        <v>60</v>
      </c>
      <c r="BO14" s="170">
        <v>75</v>
      </c>
      <c r="BP14" s="39"/>
      <c r="BQ14" s="39"/>
      <c r="BR14" s="171"/>
      <c r="BS14" s="39"/>
      <c r="BT14" s="39"/>
      <c r="BU14" s="87"/>
      <c r="BV14" s="39"/>
      <c r="BW14" s="39"/>
      <c r="BX14" s="39"/>
      <c r="BY14" s="39"/>
      <c r="BZ14" s="39"/>
      <c r="CA14" s="39"/>
      <c r="CB14" s="39"/>
      <c r="CC14" s="39"/>
      <c r="CD14" s="39"/>
      <c r="CE14" s="39"/>
    </row>
    <row r="15" spans="1:83" ht="18.75" thickBot="1">
      <c r="A15" s="39"/>
      <c r="B15" s="99">
        <v>5</v>
      </c>
      <c r="C15" s="730" t="s">
        <v>156</v>
      </c>
      <c r="D15" s="731" t="s">
        <v>119</v>
      </c>
      <c r="E15" s="729">
        <v>33.1</v>
      </c>
      <c r="F15" s="729"/>
      <c r="G15" s="729"/>
      <c r="H15" s="139">
        <f t="shared" si="12"/>
        <v>0.8746680021286011</v>
      </c>
      <c r="I15" s="140">
        <f t="shared" si="13"/>
        <v>0.08600538500000002</v>
      </c>
      <c r="J15" s="141"/>
      <c r="K15" s="49"/>
      <c r="L15" s="50" t="str">
        <f t="shared" si="3"/>
        <v>○</v>
      </c>
      <c r="M15" s="51" t="str">
        <f t="shared" si="4"/>
        <v>　</v>
      </c>
      <c r="N15" s="51" t="str">
        <f t="shared" si="5"/>
        <v>　</v>
      </c>
      <c r="O15" s="39"/>
      <c r="P15" s="99">
        <v>5</v>
      </c>
      <c r="Q15" s="730" t="s">
        <v>156</v>
      </c>
      <c r="R15" s="731" t="s">
        <v>122</v>
      </c>
      <c r="S15" s="729">
        <v>30.8</v>
      </c>
      <c r="T15" s="729"/>
      <c r="U15" s="729"/>
      <c r="V15" s="139">
        <f t="shared" si="14"/>
        <v>0.8146520853042603</v>
      </c>
      <c r="W15" s="140">
        <f t="shared" si="15"/>
        <v>0.07446824000000002</v>
      </c>
      <c r="X15" s="141"/>
      <c r="Y15" s="49"/>
      <c r="Z15" s="50" t="str">
        <f t="shared" si="6"/>
        <v>△</v>
      </c>
      <c r="AA15" s="51" t="str">
        <f t="shared" si="7"/>
        <v>　</v>
      </c>
      <c r="AB15" s="51" t="str">
        <f t="shared" si="8"/>
        <v>　</v>
      </c>
      <c r="AC15" s="39"/>
      <c r="AD15" s="99">
        <v>5</v>
      </c>
      <c r="AE15" s="730"/>
      <c r="AF15" s="731"/>
      <c r="AG15" s="729"/>
      <c r="AH15" s="729"/>
      <c r="AI15" s="729"/>
      <c r="AJ15" s="139">
        <f t="shared" si="16"/>
      </c>
      <c r="AK15" s="140">
        <f t="shared" si="18"/>
        <v>0</v>
      </c>
      <c r="AL15" s="142"/>
      <c r="AM15" s="49"/>
      <c r="AN15" s="50">
        <f t="shared" si="9"/>
      </c>
      <c r="AO15" s="51" t="str">
        <f t="shared" si="10"/>
        <v>　</v>
      </c>
      <c r="AP15" s="51" t="str">
        <f t="shared" si="11"/>
        <v>　</v>
      </c>
      <c r="AQ15" s="39"/>
      <c r="AR15" s="99"/>
      <c r="AS15" s="143" t="s">
        <v>50</v>
      </c>
      <c r="AT15" s="144">
        <f>(COUNTIF(E11:E35,"&gt;=18")-COUNTIF(E11:E35,"&gt;=20"))+(COUNTIF(S11:S35,"&gt;=18")-COUNTIF(S11:S35,"&gt;=20"))+(COUNTIF(AG11:AG35,"&gt;=18")-COUNTIF(AG11:AG35,"&gt;=20"))</f>
        <v>1</v>
      </c>
      <c r="AU15" s="144">
        <f>SUMPRODUCT(($E$11:$E$35&gt;=18)*($E$11:$E$35&lt;20)*($C$11:$C$35="×"))+SUMPRODUCT(($S$11:$S$35&gt;=18)*($S$11:$S$35&lt;20)*($Q$11:$Q$35="×"))+SUMPRODUCT(($AG$11:$AG$35&gt;=18)*($AG$11:$AG$35&lt;20)*($AE$11:$AE$35="×"))</f>
        <v>1</v>
      </c>
      <c r="AV15" s="144">
        <f t="shared" si="17"/>
        <v>0</v>
      </c>
      <c r="AW15" s="143"/>
      <c r="AX15" s="145"/>
      <c r="AY15" s="146"/>
      <c r="AZ15" s="147"/>
      <c r="BA15" s="178"/>
      <c r="BB15" s="39"/>
      <c r="BC15" s="179" t="s">
        <v>157</v>
      </c>
      <c r="BD15" s="180">
        <f>BG45</f>
        <v>31.88235294117647</v>
      </c>
      <c r="BE15" s="181" t="s">
        <v>98</v>
      </c>
      <c r="BF15" s="182">
        <v>0</v>
      </c>
      <c r="BG15" s="183">
        <v>0</v>
      </c>
      <c r="BH15" s="184">
        <v>0</v>
      </c>
      <c r="BI15" s="185">
        <v>0</v>
      </c>
      <c r="BJ15" s="186">
        <v>0</v>
      </c>
      <c r="BK15" s="187">
        <v>0</v>
      </c>
      <c r="BL15" s="39"/>
      <c r="BM15" s="169" t="s">
        <v>111</v>
      </c>
      <c r="BN15" s="160">
        <v>70</v>
      </c>
      <c r="BO15" s="170">
        <v>85</v>
      </c>
      <c r="BP15" s="39"/>
      <c r="BQ15" s="39"/>
      <c r="BR15" s="171"/>
      <c r="BS15" s="39"/>
      <c r="BT15" s="39"/>
      <c r="BU15" s="39"/>
      <c r="BV15" s="39"/>
      <c r="BW15" s="39"/>
      <c r="BX15" s="39"/>
      <c r="BY15" s="39"/>
      <c r="BZ15" s="39"/>
      <c r="CA15" s="39"/>
      <c r="CB15" s="39"/>
      <c r="CC15" s="39"/>
      <c r="CD15" s="39"/>
      <c r="CE15" s="39"/>
    </row>
    <row r="16" spans="1:83" ht="18">
      <c r="A16" s="39"/>
      <c r="B16" s="99">
        <v>6</v>
      </c>
      <c r="C16" s="730"/>
      <c r="D16" s="731" t="s">
        <v>119</v>
      </c>
      <c r="E16" s="729">
        <v>40</v>
      </c>
      <c r="F16" s="729"/>
      <c r="G16" s="729"/>
      <c r="H16" s="139">
        <f t="shared" si="12"/>
        <v>1.2361689805984497</v>
      </c>
      <c r="I16" s="140">
        <f t="shared" si="13"/>
        <v>0.1256</v>
      </c>
      <c r="J16" s="141"/>
      <c r="K16" s="49"/>
      <c r="L16" s="50" t="str">
        <f t="shared" si="3"/>
        <v>○</v>
      </c>
      <c r="M16" s="51" t="str">
        <f t="shared" si="4"/>
        <v>　</v>
      </c>
      <c r="N16" s="51" t="str">
        <f t="shared" si="5"/>
        <v>　</v>
      </c>
      <c r="O16" s="39"/>
      <c r="P16" s="99">
        <v>6</v>
      </c>
      <c r="Q16" s="730"/>
      <c r="R16" s="731" t="s">
        <v>119</v>
      </c>
      <c r="S16" s="729">
        <v>31.1</v>
      </c>
      <c r="T16" s="729"/>
      <c r="U16" s="729"/>
      <c r="V16" s="139">
        <f t="shared" si="14"/>
        <v>0.7431716918945312</v>
      </c>
      <c r="W16" s="140">
        <f t="shared" si="15"/>
        <v>0.075925985</v>
      </c>
      <c r="X16" s="141"/>
      <c r="Y16" s="49"/>
      <c r="Z16" s="50" t="str">
        <f t="shared" si="6"/>
        <v>△</v>
      </c>
      <c r="AA16" s="51" t="str">
        <f t="shared" si="7"/>
        <v>　</v>
      </c>
      <c r="AB16" s="51" t="str">
        <f t="shared" si="8"/>
        <v>　</v>
      </c>
      <c r="AC16" s="39"/>
      <c r="AD16" s="99">
        <v>6</v>
      </c>
      <c r="AE16" s="730"/>
      <c r="AF16" s="731"/>
      <c r="AG16" s="729"/>
      <c r="AH16" s="729"/>
      <c r="AI16" s="729"/>
      <c r="AJ16" s="139">
        <f t="shared" si="16"/>
      </c>
      <c r="AK16" s="140">
        <f t="shared" si="18"/>
        <v>0</v>
      </c>
      <c r="AL16" s="142"/>
      <c r="AM16" s="49"/>
      <c r="AN16" s="50">
        <f t="shared" si="9"/>
      </c>
      <c r="AO16" s="51" t="str">
        <f t="shared" si="10"/>
        <v>　</v>
      </c>
      <c r="AP16" s="51" t="str">
        <f t="shared" si="11"/>
        <v>　</v>
      </c>
      <c r="AQ16" s="39"/>
      <c r="AR16" s="99"/>
      <c r="AS16" s="143" t="s">
        <v>51</v>
      </c>
      <c r="AT16" s="144">
        <f>(COUNTIF(E11:E35,"&gt;=20")-COUNTIF(E11:E35,"&gt;=22"))+(COUNTIF(S11:S35,"&gt;=20")-COUNTIF(S11:S35,"&gt;=22"))+(COUNTIF(AG11:AG35,"&gt;=20")-COUNTIF(AG11:AG35,"&gt;=22"))</f>
        <v>3</v>
      </c>
      <c r="AU16" s="144">
        <f>SUMPRODUCT(($E$11:$E$35&gt;=20)*($E$11:$E$35&lt;22)*($C$11:$C$35="×"))+SUMPRODUCT(($S$11:$S$35&gt;=20)*($S$11:$S$35&lt;22)*($Q$11:$Q$35="×"))+SUMPRODUCT(($AG$11:$AG$35&gt;=20)*($AG$11:$AG$35&lt;22)*($AE$11:$AE$35="×"))</f>
        <v>3</v>
      </c>
      <c r="AV16" s="144">
        <f t="shared" si="17"/>
        <v>0</v>
      </c>
      <c r="AW16" s="143"/>
      <c r="AX16" s="145"/>
      <c r="AY16" s="146"/>
      <c r="AZ16" s="147"/>
      <c r="BA16" s="148"/>
      <c r="BB16" s="39"/>
      <c r="BC16" s="188"/>
      <c r="BD16" s="189"/>
      <c r="BE16" s="190" t="s">
        <v>99</v>
      </c>
      <c r="BF16" s="735">
        <f>VLOOKUP(BD19,'条件'!$B$12:$D$20,'条件'!$G$13,TRUE)</f>
        <v>90</v>
      </c>
      <c r="BG16" s="155">
        <v>0.4</v>
      </c>
      <c r="BH16" s="156">
        <f>BF16/((CA69/2)^2*PI())</f>
        <v>792.8338042348055</v>
      </c>
      <c r="BI16" s="157">
        <f>$AT$49</f>
        <v>23.924999999999994</v>
      </c>
      <c r="BJ16" s="158">
        <f>((BI16/(BK16*4/8))*2)</f>
        <v>0.8699999999999998</v>
      </c>
      <c r="BK16" s="736">
        <f>VLOOKUP(BD19,'条件'!$B$26:$D$35,'条件'!$G$13,TRUE)</f>
        <v>110</v>
      </c>
      <c r="BL16" s="39"/>
      <c r="BM16" s="169" t="s">
        <v>112</v>
      </c>
      <c r="BN16" s="160">
        <v>80</v>
      </c>
      <c r="BO16" s="170">
        <v>90</v>
      </c>
      <c r="BP16" s="39"/>
      <c r="BQ16" s="39"/>
      <c r="BR16" s="171"/>
      <c r="BS16" s="39"/>
      <c r="BT16" s="39"/>
      <c r="BU16" s="39"/>
      <c r="BV16" s="39"/>
      <c r="BW16" s="39"/>
      <c r="BX16" s="39"/>
      <c r="BY16" s="39"/>
      <c r="BZ16" s="39"/>
      <c r="CA16" s="39"/>
      <c r="CB16" s="39"/>
      <c r="CC16" s="39"/>
      <c r="CD16" s="39"/>
      <c r="CE16" s="39"/>
    </row>
    <row r="17" spans="1:83" ht="18">
      <c r="A17" s="39"/>
      <c r="B17" s="99">
        <v>7</v>
      </c>
      <c r="C17" s="730" t="s">
        <v>156</v>
      </c>
      <c r="D17" s="731" t="s">
        <v>119</v>
      </c>
      <c r="E17" s="729">
        <v>31</v>
      </c>
      <c r="F17" s="729">
        <v>25.5</v>
      </c>
      <c r="G17" s="729">
        <v>15.6</v>
      </c>
      <c r="H17" s="139">
        <f t="shared" si="12"/>
        <v>0.7759549617767334</v>
      </c>
      <c r="I17" s="140">
        <f t="shared" si="13"/>
        <v>0.0754385</v>
      </c>
      <c r="J17" s="141"/>
      <c r="K17" s="49"/>
      <c r="L17" s="50" t="str">
        <f t="shared" si="3"/>
        <v>△</v>
      </c>
      <c r="M17" s="51" t="str">
        <f t="shared" si="4"/>
        <v>△有</v>
      </c>
      <c r="N17" s="51" t="str">
        <f t="shared" si="5"/>
        <v>×有</v>
      </c>
      <c r="O17" s="39"/>
      <c r="P17" s="99">
        <v>7</v>
      </c>
      <c r="Q17" s="730"/>
      <c r="R17" s="731" t="s">
        <v>119</v>
      </c>
      <c r="S17" s="729">
        <v>44</v>
      </c>
      <c r="T17" s="729"/>
      <c r="U17" s="729"/>
      <c r="V17" s="139">
        <f t="shared" si="14"/>
        <v>1.4008702039718628</v>
      </c>
      <c r="W17" s="140">
        <f t="shared" si="15"/>
        <v>0.151976</v>
      </c>
      <c r="X17" s="141"/>
      <c r="Y17" s="49"/>
      <c r="Z17" s="50" t="str">
        <f t="shared" si="6"/>
        <v>○</v>
      </c>
      <c r="AA17" s="51" t="str">
        <f t="shared" si="7"/>
        <v>　</v>
      </c>
      <c r="AB17" s="51" t="str">
        <f t="shared" si="8"/>
        <v>　</v>
      </c>
      <c r="AC17" s="39"/>
      <c r="AD17" s="99">
        <v>7</v>
      </c>
      <c r="AE17" s="730"/>
      <c r="AF17" s="731"/>
      <c r="AG17" s="729"/>
      <c r="AH17" s="729"/>
      <c r="AI17" s="729"/>
      <c r="AJ17" s="139">
        <f t="shared" si="16"/>
      </c>
      <c r="AK17" s="140">
        <f t="shared" si="18"/>
        <v>0</v>
      </c>
      <c r="AL17" s="142"/>
      <c r="AM17" s="49"/>
      <c r="AN17" s="50">
        <f t="shared" si="9"/>
      </c>
      <c r="AO17" s="51" t="str">
        <f t="shared" si="10"/>
        <v>　</v>
      </c>
      <c r="AP17" s="51" t="str">
        <f t="shared" si="11"/>
        <v>　</v>
      </c>
      <c r="AQ17" s="39"/>
      <c r="AR17" s="99"/>
      <c r="AS17" s="143" t="s">
        <v>52</v>
      </c>
      <c r="AT17" s="144">
        <f>(COUNTIF(E11:E35,"&gt;=22")-COUNTIF(E11:E35,"&gt;=24"))+(COUNTIF(S11:S35,"&gt;=22")-COUNTIF(S11:S35,"&gt;=24"))+(COUNTIF(AG11:AG35,"&gt;=22")-COUNTIF(AG11:AG35,"&gt;=24"))</f>
        <v>0</v>
      </c>
      <c r="AU17" s="144">
        <f>SUMPRODUCT(($E$11:$E$35&gt;=22)*($E$11:$E$35&lt;24)*($C$11:$C$35="×"))+SUMPRODUCT(($S$11:$S$35&gt;=22)*($S$11:$S$35&lt;24)*($Q$11:$Q$35="×"))+SUMPRODUCT(($AG$11:$AG$35&gt;=22)*($AG$11:$AG$35&lt;24)*($AE$11:$AE$35="×"))</f>
        <v>0</v>
      </c>
      <c r="AV17" s="144">
        <f t="shared" si="17"/>
        <v>0</v>
      </c>
      <c r="AW17" s="143"/>
      <c r="AX17" s="145"/>
      <c r="AY17" s="146"/>
      <c r="AZ17" s="147"/>
      <c r="BA17" s="148"/>
      <c r="BB17" s="39"/>
      <c r="BC17" s="792" t="str">
        <f>BC46</f>
        <v>間伐後</v>
      </c>
      <c r="BD17" s="793"/>
      <c r="BE17" s="796" t="s">
        <v>103</v>
      </c>
      <c r="BF17" s="191">
        <f>BF16*0.62</f>
        <v>55.8</v>
      </c>
      <c r="BG17" s="164" t="s">
        <v>153</v>
      </c>
      <c r="BH17" s="192">
        <f>BH16*0.62</f>
        <v>491.5569586255794</v>
      </c>
      <c r="BI17" s="193">
        <f>$AT$49*0.62</f>
        <v>14.833499999999995</v>
      </c>
      <c r="BJ17" s="167">
        <f>(BJ16-BJ19)*0.62+BJ19</f>
        <v>0.5393999999999999</v>
      </c>
      <c r="BK17" s="168">
        <f>BK16*0.62</f>
        <v>68.2</v>
      </c>
      <c r="BL17" s="39"/>
      <c r="BM17" s="169" t="s">
        <v>100</v>
      </c>
      <c r="BN17" s="160">
        <v>85</v>
      </c>
      <c r="BO17" s="170">
        <v>95</v>
      </c>
      <c r="BP17" s="39"/>
      <c r="BQ17" s="39"/>
      <c r="BR17" s="171"/>
      <c r="BS17" s="39"/>
      <c r="BT17" s="39"/>
      <c r="BU17" s="39"/>
      <c r="BV17" s="39"/>
      <c r="BW17" s="39"/>
      <c r="BX17" s="39"/>
      <c r="BY17" s="39"/>
      <c r="BZ17" s="39"/>
      <c r="CA17" s="39"/>
      <c r="CB17" s="39"/>
      <c r="CC17" s="39"/>
      <c r="CD17" s="39"/>
      <c r="CE17" s="39"/>
    </row>
    <row r="18" spans="1:83" ht="18">
      <c r="A18" s="39"/>
      <c r="B18" s="99">
        <v>8</v>
      </c>
      <c r="C18" s="730" t="s">
        <v>156</v>
      </c>
      <c r="D18" s="731" t="s">
        <v>119</v>
      </c>
      <c r="E18" s="729">
        <v>29.6</v>
      </c>
      <c r="F18" s="729"/>
      <c r="G18" s="729"/>
      <c r="H18" s="139">
        <f t="shared" si="12"/>
        <v>0.7131312489509583</v>
      </c>
      <c r="I18" s="140">
        <f t="shared" si="13"/>
        <v>0.06877856</v>
      </c>
      <c r="J18" s="141"/>
      <c r="K18" s="49"/>
      <c r="L18" s="50" t="str">
        <f t="shared" si="3"/>
        <v>△</v>
      </c>
      <c r="M18" s="51" t="str">
        <f t="shared" si="4"/>
        <v>　</v>
      </c>
      <c r="N18" s="51" t="str">
        <f t="shared" si="5"/>
        <v>　</v>
      </c>
      <c r="O18" s="39"/>
      <c r="P18" s="99">
        <v>8</v>
      </c>
      <c r="Q18" s="727" t="s">
        <v>300</v>
      </c>
      <c r="R18" s="728" t="s">
        <v>301</v>
      </c>
      <c r="S18" s="729">
        <v>34.5</v>
      </c>
      <c r="T18" s="729"/>
      <c r="U18" s="729"/>
      <c r="V18" s="139">
        <f t="shared" si="14"/>
        <v>0.8982755541801453</v>
      </c>
      <c r="W18" s="140">
        <f t="shared" si="15"/>
        <v>0.09343462500000001</v>
      </c>
      <c r="X18" s="141"/>
      <c r="Y18" s="49"/>
      <c r="Z18" s="50" t="str">
        <f t="shared" si="6"/>
        <v>○</v>
      </c>
      <c r="AA18" s="51" t="str">
        <f t="shared" si="7"/>
        <v>　</v>
      </c>
      <c r="AB18" s="51" t="str">
        <f t="shared" si="8"/>
        <v>　</v>
      </c>
      <c r="AC18" s="39"/>
      <c r="AD18" s="99">
        <v>8</v>
      </c>
      <c r="AE18" s="730"/>
      <c r="AF18" s="731"/>
      <c r="AG18" s="729"/>
      <c r="AH18" s="729"/>
      <c r="AI18" s="729"/>
      <c r="AJ18" s="139">
        <f t="shared" si="16"/>
      </c>
      <c r="AK18" s="140">
        <f t="shared" si="18"/>
        <v>0</v>
      </c>
      <c r="AL18" s="142"/>
      <c r="AM18" s="49"/>
      <c r="AN18" s="50">
        <f t="shared" si="9"/>
      </c>
      <c r="AO18" s="51" t="str">
        <f t="shared" si="10"/>
        <v>　</v>
      </c>
      <c r="AP18" s="51" t="str">
        <f t="shared" si="11"/>
        <v>　</v>
      </c>
      <c r="AQ18" s="39"/>
      <c r="AR18" s="99"/>
      <c r="AS18" s="143" t="s">
        <v>53</v>
      </c>
      <c r="AT18" s="144">
        <f>(COUNTIF(E11:E35,"&gt;=24")-COUNTIF(E11:E35,"&gt;=26"))+(COUNTIF(S11:S35,"&gt;=24")-COUNTIF(S11:S35,"&gt;=26"))+(COUNTIF(AG11:AG35,"&gt;=24")-COUNTIF(AG11:AG35,"&gt;=26"))</f>
        <v>0</v>
      </c>
      <c r="AU18" s="144">
        <f>SUMPRODUCT(($E$11:$E$35&gt;=24)*($E$11:$E$35&lt;26)*($C$11:$C$35="×"))+SUMPRODUCT(($S$11:$S$35&gt;=24)*($S$11:$S$35&lt;26)*($Q$11:$Q$35="×"))+SUMPRODUCT(($AG$11:$AG$35&gt;=24)*($AG$11:$AG$35&lt;26)*($AE$11:$AE$35="×"))</f>
        <v>0</v>
      </c>
      <c r="AV18" s="144">
        <f t="shared" si="17"/>
        <v>0</v>
      </c>
      <c r="AW18" s="143"/>
      <c r="AX18" s="145"/>
      <c r="AY18" s="146"/>
      <c r="AZ18" s="147"/>
      <c r="BA18" s="148"/>
      <c r="BB18" s="39"/>
      <c r="BC18" s="792"/>
      <c r="BD18" s="793"/>
      <c r="BE18" s="797"/>
      <c r="BF18" s="194">
        <f>BF16*0.38</f>
        <v>34.2</v>
      </c>
      <c r="BG18" s="173" t="s">
        <v>154</v>
      </c>
      <c r="BH18" s="195">
        <f>BH16*0.38</f>
        <v>301.2768456092261</v>
      </c>
      <c r="BI18" s="196">
        <f>$AT$49*0.38</f>
        <v>9.091499999999998</v>
      </c>
      <c r="BJ18" s="176">
        <f>(BJ16-BJ19)*0.38+BJ19</f>
        <v>0.3305999999999999</v>
      </c>
      <c r="BK18" s="177">
        <f>BK16*0.38</f>
        <v>41.8</v>
      </c>
      <c r="BL18" s="39"/>
      <c r="BM18" s="169" t="s">
        <v>151</v>
      </c>
      <c r="BN18" s="160">
        <v>90</v>
      </c>
      <c r="BO18" s="170">
        <v>100</v>
      </c>
      <c r="BP18" s="39"/>
      <c r="BQ18" s="39"/>
      <c r="BR18" s="171"/>
      <c r="BS18" s="39"/>
      <c r="BT18" s="39"/>
      <c r="BU18" s="39"/>
      <c r="BV18" s="39"/>
      <c r="BW18" s="39"/>
      <c r="BX18" s="39"/>
      <c r="BY18" s="39"/>
      <c r="BZ18" s="39"/>
      <c r="CA18" s="39"/>
      <c r="CB18" s="39"/>
      <c r="CC18" s="39"/>
      <c r="CD18" s="39"/>
      <c r="CE18" s="39"/>
    </row>
    <row r="19" spans="1:83" ht="18.75" thickBot="1">
      <c r="A19" s="39"/>
      <c r="B19" s="99">
        <v>9</v>
      </c>
      <c r="C19" s="730"/>
      <c r="D19" s="731" t="s">
        <v>122</v>
      </c>
      <c r="E19" s="729">
        <v>45.5</v>
      </c>
      <c r="F19" s="729"/>
      <c r="G19" s="729"/>
      <c r="H19" s="139">
        <f t="shared" si="12"/>
        <v>1.761029601097107</v>
      </c>
      <c r="I19" s="140">
        <f t="shared" si="13"/>
        <v>0.162514625</v>
      </c>
      <c r="J19" s="141"/>
      <c r="K19" s="49"/>
      <c r="L19" s="50" t="str">
        <f t="shared" si="3"/>
        <v>○</v>
      </c>
      <c r="M19" s="51" t="str">
        <f t="shared" si="4"/>
        <v>　</v>
      </c>
      <c r="N19" s="51" t="str">
        <f t="shared" si="5"/>
        <v>　</v>
      </c>
      <c r="O19" s="39"/>
      <c r="P19" s="99">
        <v>9</v>
      </c>
      <c r="Q19" s="730" t="s">
        <v>300</v>
      </c>
      <c r="R19" s="731" t="s">
        <v>301</v>
      </c>
      <c r="S19" s="729">
        <v>20.9</v>
      </c>
      <c r="T19" s="729"/>
      <c r="U19" s="729"/>
      <c r="V19" s="139">
        <f t="shared" si="14"/>
        <v>0.35952579975128174</v>
      </c>
      <c r="W19" s="140">
        <f t="shared" si="15"/>
        <v>0.034289585</v>
      </c>
      <c r="X19" s="141"/>
      <c r="Y19" s="49"/>
      <c r="Z19" s="50" t="str">
        <f t="shared" si="6"/>
        <v>△</v>
      </c>
      <c r="AA19" s="51" t="str">
        <f t="shared" si="7"/>
        <v>　</v>
      </c>
      <c r="AB19" s="51" t="str">
        <f t="shared" si="8"/>
        <v>　</v>
      </c>
      <c r="AC19" s="39"/>
      <c r="AD19" s="99">
        <v>9</v>
      </c>
      <c r="AE19" s="730"/>
      <c r="AF19" s="731"/>
      <c r="AG19" s="729"/>
      <c r="AH19" s="729"/>
      <c r="AI19" s="729"/>
      <c r="AJ19" s="139">
        <f t="shared" si="16"/>
      </c>
      <c r="AK19" s="140">
        <f t="shared" si="18"/>
        <v>0</v>
      </c>
      <c r="AL19" s="142"/>
      <c r="AM19" s="49"/>
      <c r="AN19" s="50">
        <f t="shared" si="9"/>
      </c>
      <c r="AO19" s="51" t="str">
        <f t="shared" si="10"/>
        <v>　</v>
      </c>
      <c r="AP19" s="51" t="str">
        <f t="shared" si="11"/>
        <v>　</v>
      </c>
      <c r="AQ19" s="39"/>
      <c r="AR19" s="99"/>
      <c r="AS19" s="143" t="s">
        <v>54</v>
      </c>
      <c r="AT19" s="144">
        <f>(COUNTIF(E11:E35,"&gt;=26")-COUNTIF(E11:E35,"&gt;=28"))+(COUNTIF(S11:S35,"&gt;=26")-COUNTIF(S11:S35,"&gt;=28"))+(COUNTIF(AG11:AG35,"&gt;=26")-COUNTIF(AG11:AG35,"&gt;=28"))</f>
        <v>2</v>
      </c>
      <c r="AU19" s="144">
        <f>SUMPRODUCT(($E$11:$E$35&gt;=26)*($E$11:$E$35&lt;28)*($C$11:$C$35="×"))+SUMPRODUCT(($S$11:$S$35&gt;=26)*($S$11:$S$35&lt;28)*($Q$11:$Q$35="×"))+SUMPRODUCT(($AG$11:$AG$35&gt;=26)*($AG$11:$AG$35&lt;28)*($AE$11:$AE$35="×"))</f>
        <v>2</v>
      </c>
      <c r="AV19" s="144">
        <f t="shared" si="17"/>
        <v>0</v>
      </c>
      <c r="AW19" s="143"/>
      <c r="AX19" s="145"/>
      <c r="AY19" s="146"/>
      <c r="AZ19" s="147"/>
      <c r="BA19" s="148"/>
      <c r="BB19" s="39"/>
      <c r="BC19" s="179" t="s">
        <v>157</v>
      </c>
      <c r="BD19" s="180">
        <f>BG46</f>
        <v>38.01764705882353</v>
      </c>
      <c r="BE19" s="181" t="s">
        <v>98</v>
      </c>
      <c r="BF19" s="197">
        <v>0</v>
      </c>
      <c r="BG19" s="183">
        <v>0</v>
      </c>
      <c r="BH19" s="198">
        <v>0</v>
      </c>
      <c r="BI19" s="185">
        <v>0</v>
      </c>
      <c r="BJ19" s="186">
        <v>0</v>
      </c>
      <c r="BK19" s="199">
        <v>0</v>
      </c>
      <c r="BL19" s="39"/>
      <c r="BM19" s="169" t="s">
        <v>138</v>
      </c>
      <c r="BN19" s="160">
        <v>95</v>
      </c>
      <c r="BO19" s="170">
        <v>100</v>
      </c>
      <c r="BP19" s="39"/>
      <c r="BQ19" s="39"/>
      <c r="BR19" s="171"/>
      <c r="BS19" s="39"/>
      <c r="BT19" s="39"/>
      <c r="BU19" s="39"/>
      <c r="BV19" s="39"/>
      <c r="BW19" s="39"/>
      <c r="BX19" s="39"/>
      <c r="BY19" s="39"/>
      <c r="BZ19" s="39"/>
      <c r="CA19" s="39"/>
      <c r="CB19" s="39"/>
      <c r="CC19" s="39"/>
      <c r="CD19" s="39"/>
      <c r="CE19" s="39"/>
    </row>
    <row r="20" spans="1:83" ht="18">
      <c r="A20" s="39"/>
      <c r="B20" s="99">
        <v>10</v>
      </c>
      <c r="C20" s="730"/>
      <c r="D20" s="731" t="s">
        <v>119</v>
      </c>
      <c r="E20" s="729">
        <v>36.2</v>
      </c>
      <c r="F20" s="729"/>
      <c r="G20" s="729"/>
      <c r="H20" s="139">
        <f t="shared" si="12"/>
        <v>1.0300933122634888</v>
      </c>
      <c r="I20" s="140">
        <f t="shared" si="13"/>
        <v>0.10286954000000002</v>
      </c>
      <c r="J20" s="141"/>
      <c r="K20" s="49"/>
      <c r="L20" s="50" t="str">
        <f t="shared" si="3"/>
        <v>○</v>
      </c>
      <c r="M20" s="51" t="str">
        <f t="shared" si="4"/>
        <v>　</v>
      </c>
      <c r="N20" s="51" t="str">
        <f t="shared" si="5"/>
        <v>　</v>
      </c>
      <c r="O20" s="39"/>
      <c r="P20" s="99">
        <v>10</v>
      </c>
      <c r="Q20" s="730"/>
      <c r="R20" s="731" t="s">
        <v>302</v>
      </c>
      <c r="S20" s="729">
        <v>39.5</v>
      </c>
      <c r="T20" s="729"/>
      <c r="U20" s="729"/>
      <c r="V20" s="139">
        <f t="shared" si="14"/>
        <v>1.1502563953399658</v>
      </c>
      <c r="W20" s="140">
        <f t="shared" si="15"/>
        <v>0.12247962500000001</v>
      </c>
      <c r="X20" s="141"/>
      <c r="Y20" s="49"/>
      <c r="Z20" s="50" t="str">
        <f t="shared" si="6"/>
        <v>○</v>
      </c>
      <c r="AA20" s="51" t="str">
        <f t="shared" si="7"/>
        <v>　</v>
      </c>
      <c r="AB20" s="51" t="str">
        <f t="shared" si="8"/>
        <v>　</v>
      </c>
      <c r="AC20" s="39"/>
      <c r="AD20" s="99">
        <v>10</v>
      </c>
      <c r="AE20" s="730"/>
      <c r="AF20" s="731"/>
      <c r="AG20" s="729"/>
      <c r="AH20" s="729"/>
      <c r="AI20" s="729"/>
      <c r="AJ20" s="139">
        <f t="shared" si="16"/>
      </c>
      <c r="AK20" s="140">
        <f t="shared" si="18"/>
        <v>0</v>
      </c>
      <c r="AL20" s="142"/>
      <c r="AM20" s="49"/>
      <c r="AN20" s="50">
        <f t="shared" si="9"/>
      </c>
      <c r="AO20" s="51" t="str">
        <f t="shared" si="10"/>
        <v>　</v>
      </c>
      <c r="AP20" s="51" t="str">
        <f t="shared" si="11"/>
        <v>　</v>
      </c>
      <c r="AQ20" s="39"/>
      <c r="AR20" s="99"/>
      <c r="AS20" s="143" t="s">
        <v>55</v>
      </c>
      <c r="AT20" s="144">
        <f>(COUNTIF(E11:E35,"&gt;=28")-COUNTIF(E11:E35,"&gt;=30"))+(COUNTIF(S11:S35,"&gt;=28")-COUNTIF(S11:S35,"&gt;=30"))+(COUNTIF(AG11:AG35,"&gt;=28")-COUNTIF(AG11:AG35,"&gt;=30"))</f>
        <v>3</v>
      </c>
      <c r="AU20" s="144">
        <f>SUMPRODUCT(($E$11:$E$35&gt;=28)*($E$11:$E$35&lt;30)*($C$11:$C$35="×"))+SUMPRODUCT(($S$11:$S$35&gt;=28)*($S$11:$S$35&lt;30)*($Q$11:$Q$35="×"))+SUMPRODUCT(($AG$11:$AG$35&gt;=28)*($AG$11:$AG$35&lt;30)*($AE$11:$AE$35="×"))</f>
        <v>2</v>
      </c>
      <c r="AV20" s="144">
        <f t="shared" si="17"/>
        <v>1</v>
      </c>
      <c r="AW20" s="143"/>
      <c r="AX20" s="145"/>
      <c r="AY20" s="146"/>
      <c r="AZ20" s="147"/>
      <c r="BA20" s="148"/>
      <c r="BB20" s="39"/>
      <c r="BC20" s="188"/>
      <c r="BD20" s="189"/>
      <c r="BE20" s="190" t="s">
        <v>99</v>
      </c>
      <c r="BF20" s="735">
        <f>VLOOKUP(BD23,'条件'!$B$12:$D$20,'条件'!$G$13,TRUE)</f>
        <v>95</v>
      </c>
      <c r="BG20" s="155">
        <v>0.4</v>
      </c>
      <c r="BH20" s="156">
        <f>BF20/((CA70/2)^2*PI())</f>
        <v>596.8540429483733</v>
      </c>
      <c r="BI20" s="157">
        <f>BH47</f>
        <v>26.924999999999994</v>
      </c>
      <c r="BJ20" s="158">
        <f>((BI20/(BK20*4/8))*2)</f>
        <v>1.0769999999999997</v>
      </c>
      <c r="BK20" s="736">
        <f>VLOOKUP(BD23,'条件'!$B$26:$D$35,'条件'!$G$13,TRUE)</f>
        <v>100</v>
      </c>
      <c r="BL20" s="39"/>
      <c r="BM20" s="169" t="s">
        <v>152</v>
      </c>
      <c r="BN20" s="160"/>
      <c r="BO20" s="170">
        <v>100</v>
      </c>
      <c r="BP20" s="39"/>
      <c r="BQ20" s="39"/>
      <c r="BR20" s="171"/>
      <c r="BS20" s="39"/>
      <c r="BT20" s="39"/>
      <c r="BU20" s="39"/>
      <c r="BV20" s="39"/>
      <c r="BW20" s="39"/>
      <c r="BX20" s="39"/>
      <c r="BY20" s="39"/>
      <c r="BZ20" s="39"/>
      <c r="CA20" s="39"/>
      <c r="CB20" s="39"/>
      <c r="CC20" s="39"/>
      <c r="CD20" s="39"/>
      <c r="CE20" s="39"/>
    </row>
    <row r="21" spans="1:83" ht="18">
      <c r="A21" s="39"/>
      <c r="B21" s="99">
        <v>11</v>
      </c>
      <c r="C21" s="730" t="s">
        <v>156</v>
      </c>
      <c r="D21" s="731" t="s">
        <v>119</v>
      </c>
      <c r="E21" s="729">
        <v>17.5</v>
      </c>
      <c r="F21" s="729"/>
      <c r="G21" s="729"/>
      <c r="H21" s="139">
        <f t="shared" si="12"/>
        <v>0.27299779653549194</v>
      </c>
      <c r="I21" s="140">
        <f t="shared" si="13"/>
        <v>0.024040625</v>
      </c>
      <c r="J21" s="141"/>
      <c r="K21" s="49"/>
      <c r="L21" s="50" t="str">
        <f t="shared" si="3"/>
        <v>△</v>
      </c>
      <c r="M21" s="51" t="str">
        <f t="shared" si="4"/>
        <v>　</v>
      </c>
      <c r="N21" s="51" t="str">
        <f t="shared" si="5"/>
        <v>　</v>
      </c>
      <c r="O21" s="39"/>
      <c r="P21" s="99">
        <v>11</v>
      </c>
      <c r="Q21" s="730" t="s">
        <v>303</v>
      </c>
      <c r="R21" s="731" t="s">
        <v>302</v>
      </c>
      <c r="S21" s="729">
        <v>27.4</v>
      </c>
      <c r="T21" s="729">
        <v>20.2</v>
      </c>
      <c r="U21" s="729">
        <v>15</v>
      </c>
      <c r="V21" s="139">
        <f t="shared" si="14"/>
        <v>0.5896419286727905</v>
      </c>
      <c r="W21" s="140">
        <f t="shared" si="15"/>
        <v>0.05893466</v>
      </c>
      <c r="X21" s="141"/>
      <c r="Y21" s="49"/>
      <c r="Z21" s="50" t="str">
        <f t="shared" si="6"/>
        <v>△</v>
      </c>
      <c r="AA21" s="51" t="str">
        <f t="shared" si="7"/>
        <v>△有</v>
      </c>
      <c r="AB21" s="51" t="str">
        <f t="shared" si="8"/>
        <v>×有</v>
      </c>
      <c r="AC21" s="39"/>
      <c r="AD21" s="99">
        <v>11</v>
      </c>
      <c r="AE21" s="730"/>
      <c r="AF21" s="731"/>
      <c r="AG21" s="729"/>
      <c r="AH21" s="729"/>
      <c r="AI21" s="729"/>
      <c r="AJ21" s="139">
        <f t="shared" si="16"/>
      </c>
      <c r="AK21" s="140">
        <f t="shared" si="18"/>
        <v>0</v>
      </c>
      <c r="AL21" s="142"/>
      <c r="AM21" s="49"/>
      <c r="AN21" s="50">
        <f t="shared" si="9"/>
      </c>
      <c r="AO21" s="51" t="str">
        <f t="shared" si="10"/>
        <v>　</v>
      </c>
      <c r="AP21" s="51" t="str">
        <f t="shared" si="11"/>
        <v>　</v>
      </c>
      <c r="AQ21" s="39"/>
      <c r="AR21" s="99"/>
      <c r="AS21" s="143" t="s">
        <v>56</v>
      </c>
      <c r="AT21" s="144">
        <f>(COUNTIF(E11:E35,"&gt;=30")-COUNTIF(E11:E35,"&gt;=32"))+(COUNTIF(S11:S35,"&gt;=30")-COUNTIF(S11:S35,"&gt;=32"))+(COUNTIF(AG11:AG35,"&gt;=30")-COUNTIF(AG11:AG35,"&gt;=32"))</f>
        <v>5</v>
      </c>
      <c r="AU21" s="144">
        <f>SUMPRODUCT(($E$11:$E$35&gt;=30)*($E$11:$E$35&lt;32)*($C$11:$C$35="×"))+SUMPRODUCT(($S$11:$S$35&gt;=30)*($S$11:$S$35&lt;32)*($Q$11:$Q$35="×"))+SUMPRODUCT(($AG$11:$AG$35&gt;=30)*($AG$11:$AG$35&lt;32)*($AE$11:$AE$35="×"))</f>
        <v>3</v>
      </c>
      <c r="AV21" s="144">
        <f t="shared" si="17"/>
        <v>2</v>
      </c>
      <c r="AW21" s="143"/>
      <c r="AX21" s="145"/>
      <c r="AY21" s="146"/>
      <c r="AZ21" s="147"/>
      <c r="BA21" s="148"/>
      <c r="BB21" s="39"/>
      <c r="BC21" s="804" t="str">
        <f>BC47</f>
        <v>１０年先の間伐前</v>
      </c>
      <c r="BD21" s="805"/>
      <c r="BE21" s="796" t="s">
        <v>103</v>
      </c>
      <c r="BF21" s="163">
        <f>BF20*0.62</f>
        <v>58.9</v>
      </c>
      <c r="BG21" s="164" t="s">
        <v>153</v>
      </c>
      <c r="BH21" s="165">
        <f>BH20*0.62</f>
        <v>370.04950662799143</v>
      </c>
      <c r="BI21" s="166">
        <f>$AT$47*0.62</f>
        <v>14.162571428571425</v>
      </c>
      <c r="BJ21" s="167">
        <f>(BJ20-BJ23)*0.62+BJ23</f>
        <v>0.6677399999999998</v>
      </c>
      <c r="BK21" s="168">
        <f>BK20*0.62</f>
        <v>62</v>
      </c>
      <c r="BL21" s="39"/>
      <c r="BM21" s="895" t="s">
        <v>179</v>
      </c>
      <c r="BN21" s="896"/>
      <c r="BO21" s="896"/>
      <c r="BP21" s="39"/>
      <c r="BQ21" s="39"/>
      <c r="BR21" s="200"/>
      <c r="BS21" s="39"/>
      <c r="BT21" s="39"/>
      <c r="BU21" s="39"/>
      <c r="BV21" s="39"/>
      <c r="BW21" s="39"/>
      <c r="BX21" s="39"/>
      <c r="BY21" s="39"/>
      <c r="BZ21" s="39"/>
      <c r="CA21" s="39"/>
      <c r="CB21" s="39"/>
      <c r="CC21" s="39"/>
      <c r="CD21" s="39"/>
      <c r="CE21" s="39"/>
    </row>
    <row r="22" spans="1:83" ht="18">
      <c r="A22" s="39"/>
      <c r="B22" s="99">
        <v>12</v>
      </c>
      <c r="C22" s="730" t="s">
        <v>156</v>
      </c>
      <c r="D22" s="731" t="s">
        <v>119</v>
      </c>
      <c r="E22" s="729">
        <v>12.7</v>
      </c>
      <c r="F22" s="729"/>
      <c r="G22" s="729"/>
      <c r="H22" s="139">
        <f t="shared" si="12"/>
        <v>0.151978999376297</v>
      </c>
      <c r="I22" s="140">
        <f t="shared" si="13"/>
        <v>0.012661265</v>
      </c>
      <c r="J22" s="141"/>
      <c r="K22" s="49"/>
      <c r="L22" s="50" t="str">
        <f t="shared" si="3"/>
        <v>△</v>
      </c>
      <c r="M22" s="51" t="str">
        <f t="shared" si="4"/>
        <v>　</v>
      </c>
      <c r="N22" s="51" t="str">
        <f t="shared" si="5"/>
        <v>　</v>
      </c>
      <c r="O22" s="39"/>
      <c r="P22" s="99">
        <v>12</v>
      </c>
      <c r="Q22" s="730"/>
      <c r="R22" s="731" t="s">
        <v>302</v>
      </c>
      <c r="S22" s="729">
        <v>34</v>
      </c>
      <c r="T22" s="729"/>
      <c r="U22" s="729"/>
      <c r="V22" s="139">
        <f t="shared" si="14"/>
        <v>0.8746339678764343</v>
      </c>
      <c r="W22" s="140">
        <f t="shared" si="15"/>
        <v>0.09074600000000001</v>
      </c>
      <c r="X22" s="141"/>
      <c r="Y22" s="49"/>
      <c r="Z22" s="50" t="str">
        <f t="shared" si="6"/>
        <v>○</v>
      </c>
      <c r="AA22" s="51" t="str">
        <f t="shared" si="7"/>
        <v>　</v>
      </c>
      <c r="AB22" s="51" t="str">
        <f t="shared" si="8"/>
        <v>　</v>
      </c>
      <c r="AC22" s="39"/>
      <c r="AD22" s="99">
        <v>12</v>
      </c>
      <c r="AE22" s="730"/>
      <c r="AF22" s="731"/>
      <c r="AG22" s="729"/>
      <c r="AH22" s="729"/>
      <c r="AI22" s="729"/>
      <c r="AJ22" s="139">
        <f t="shared" si="16"/>
      </c>
      <c r="AK22" s="140">
        <f t="shared" si="18"/>
        <v>0</v>
      </c>
      <c r="AL22" s="142"/>
      <c r="AM22" s="49"/>
      <c r="AN22" s="50">
        <f t="shared" si="9"/>
      </c>
      <c r="AO22" s="51" t="str">
        <f t="shared" si="10"/>
        <v>　</v>
      </c>
      <c r="AP22" s="51" t="str">
        <f t="shared" si="11"/>
        <v>　</v>
      </c>
      <c r="AQ22" s="39"/>
      <c r="AR22" s="99"/>
      <c r="AS22" s="143" t="s">
        <v>57</v>
      </c>
      <c r="AT22" s="144">
        <f>(COUNTIF(E11:E35,"&gt;=32")-COUNTIF(E11:E35,"&gt;=34"))+(COUNTIF(S11:S35,"&gt;=32")-COUNTIF(S11:S35,"&gt;=34"))+(COUNTIF(AG11:AG35,"&gt;=32")-COUNTIF(AG11:AG35,"&gt;=34"))</f>
        <v>2</v>
      </c>
      <c r="AU22" s="144">
        <f>SUMPRODUCT(($E$11:$E$35&gt;=32)*($E$11:$E$35&lt;34)*($C$11:$C$35="×"))+SUMPRODUCT(($S$11:$S$35&gt;=32)*($S$11:$S$35&lt;34)*($Q$11:$Q$35="×"))+SUMPRODUCT(($AG$11:$AG$35&gt;=32)*($AG$11:$AG$35&lt;34)*($AE$11:$AE$35="×"))</f>
        <v>1</v>
      </c>
      <c r="AV22" s="144">
        <f t="shared" si="17"/>
        <v>1</v>
      </c>
      <c r="AW22" s="143"/>
      <c r="AX22" s="145"/>
      <c r="AY22" s="146"/>
      <c r="AZ22" s="147"/>
      <c r="BA22" s="148"/>
      <c r="BB22" s="39"/>
      <c r="BC22" s="905"/>
      <c r="BD22" s="805"/>
      <c r="BE22" s="797"/>
      <c r="BF22" s="172">
        <f>BF20*0.38</f>
        <v>36.1</v>
      </c>
      <c r="BG22" s="173" t="s">
        <v>154</v>
      </c>
      <c r="BH22" s="174">
        <f>BH20*0.38</f>
        <v>226.80453632038183</v>
      </c>
      <c r="BI22" s="175">
        <f>$AT$47*0.38</f>
        <v>8.680285714285713</v>
      </c>
      <c r="BJ22" s="176">
        <f>(BJ20-BJ23)*0.38+BJ23</f>
        <v>0.4092599999999999</v>
      </c>
      <c r="BK22" s="177">
        <f>BK20*0.38</f>
        <v>38</v>
      </c>
      <c r="BL22" s="39"/>
      <c r="BM22" s="897"/>
      <c r="BN22" s="897"/>
      <c r="BO22" s="897"/>
      <c r="BP22" s="39"/>
      <c r="BQ22" s="39"/>
      <c r="BR22" s="39"/>
      <c r="BS22" s="39"/>
      <c r="BT22" s="39"/>
      <c r="BU22" s="39"/>
      <c r="BV22" s="39"/>
      <c r="BW22" s="39"/>
      <c r="BX22" s="39"/>
      <c r="BY22" s="39"/>
      <c r="BZ22" s="39"/>
      <c r="CA22" s="39"/>
      <c r="CB22" s="39"/>
      <c r="CC22" s="39"/>
      <c r="CD22" s="39"/>
      <c r="CE22" s="39"/>
    </row>
    <row r="23" spans="1:83" ht="18.75" thickBot="1">
      <c r="A23" s="39"/>
      <c r="B23" s="99">
        <v>13</v>
      </c>
      <c r="C23" s="730"/>
      <c r="D23" s="731" t="s">
        <v>119</v>
      </c>
      <c r="E23" s="729">
        <v>30.5</v>
      </c>
      <c r="F23" s="729"/>
      <c r="G23" s="729"/>
      <c r="H23" s="139">
        <f t="shared" si="12"/>
        <v>0.7532424330711365</v>
      </c>
      <c r="I23" s="140">
        <f t="shared" si="13"/>
        <v>0.07302462500000001</v>
      </c>
      <c r="J23" s="141"/>
      <c r="K23" s="49"/>
      <c r="L23" s="50" t="str">
        <f t="shared" si="3"/>
        <v>△</v>
      </c>
      <c r="M23" s="51" t="str">
        <f t="shared" si="4"/>
        <v>　</v>
      </c>
      <c r="N23" s="51" t="str">
        <f t="shared" si="5"/>
        <v>　</v>
      </c>
      <c r="O23" s="39"/>
      <c r="P23" s="99">
        <v>13</v>
      </c>
      <c r="Q23" s="730" t="s">
        <v>303</v>
      </c>
      <c r="R23" s="731" t="s">
        <v>302</v>
      </c>
      <c r="S23" s="729">
        <v>21.1</v>
      </c>
      <c r="T23" s="729"/>
      <c r="U23" s="729"/>
      <c r="V23" s="139">
        <f t="shared" si="14"/>
        <v>0.3658362329006195</v>
      </c>
      <c r="W23" s="140">
        <f t="shared" si="15"/>
        <v>0.034948985</v>
      </c>
      <c r="X23" s="141"/>
      <c r="Y23" s="49"/>
      <c r="Z23" s="50" t="str">
        <f t="shared" si="6"/>
        <v>△</v>
      </c>
      <c r="AA23" s="51" t="str">
        <f t="shared" si="7"/>
        <v>　</v>
      </c>
      <c r="AB23" s="51" t="str">
        <f t="shared" si="8"/>
        <v>　</v>
      </c>
      <c r="AC23" s="39"/>
      <c r="AD23" s="99">
        <v>13</v>
      </c>
      <c r="AE23" s="732"/>
      <c r="AF23" s="733"/>
      <c r="AG23" s="734"/>
      <c r="AH23" s="734"/>
      <c r="AI23" s="734"/>
      <c r="AJ23" s="139">
        <f t="shared" si="16"/>
      </c>
      <c r="AK23" s="140">
        <f t="shared" si="18"/>
        <v>0</v>
      </c>
      <c r="AL23" s="142"/>
      <c r="AM23" s="49"/>
      <c r="AN23" s="50">
        <f t="shared" si="9"/>
      </c>
      <c r="AO23" s="51" t="str">
        <f t="shared" si="10"/>
        <v>　</v>
      </c>
      <c r="AP23" s="51" t="str">
        <f t="shared" si="11"/>
        <v>　</v>
      </c>
      <c r="AQ23" s="39"/>
      <c r="AR23" s="99"/>
      <c r="AS23" s="143" t="s">
        <v>58</v>
      </c>
      <c r="AT23" s="144">
        <f>(COUNTIF(E11:E35,"&gt;=34")-COUNTIF(E11:E35,"&gt;=36"))+(COUNTIF(S11:S35,"&gt;=34")-COUNTIF(S11:S35,"&gt;=36"))+(COUNTIF(AG11:AG35,"&gt;=34")-COUNTIF(AG11:AG35,"&gt;=36"))</f>
        <v>2</v>
      </c>
      <c r="AU23" s="144">
        <f>SUMPRODUCT(($E$11:$E$35&gt;=34)*($E$11:$E$35&lt;36)*($C$11:$C$35="×"))+SUMPRODUCT(($S$11:$S$35&gt;=34)*($S$11:$S$35&lt;36)*($Q$11:$Q$35="×"))+SUMPRODUCT(($AG$11:$AG$35&gt;=34)*($AG$11:$AG$35&lt;36)*($AE$11:$AE$35="×"))</f>
        <v>1</v>
      </c>
      <c r="AV23" s="144">
        <f t="shared" si="17"/>
        <v>1</v>
      </c>
      <c r="AW23" s="143"/>
      <c r="AX23" s="145"/>
      <c r="AY23" s="146"/>
      <c r="AZ23" s="147"/>
      <c r="BA23" s="148"/>
      <c r="BB23" s="39"/>
      <c r="BC23" s="179" t="s">
        <v>157</v>
      </c>
      <c r="BD23" s="180">
        <f>BG47</f>
        <v>45.01764705882353</v>
      </c>
      <c r="BE23" s="181" t="s">
        <v>98</v>
      </c>
      <c r="BF23" s="182">
        <v>0</v>
      </c>
      <c r="BG23" s="183">
        <v>0</v>
      </c>
      <c r="BH23" s="184">
        <v>0</v>
      </c>
      <c r="BI23" s="185">
        <v>0</v>
      </c>
      <c r="BJ23" s="186">
        <v>0</v>
      </c>
      <c r="BK23" s="187">
        <v>0</v>
      </c>
      <c r="BL23" s="39"/>
      <c r="BM23" s="130" t="s">
        <v>159</v>
      </c>
      <c r="BN23" s="202"/>
      <c r="BO23" s="202"/>
      <c r="BP23" s="39"/>
      <c r="BQ23" s="39"/>
      <c r="BR23" s="39"/>
      <c r="BS23" s="39"/>
      <c r="BT23" s="39"/>
      <c r="BU23" s="39"/>
      <c r="BV23" s="39"/>
      <c r="BW23" s="39"/>
      <c r="BX23" s="39"/>
      <c r="BY23" s="39"/>
      <c r="BZ23" s="39"/>
      <c r="CA23" s="39"/>
      <c r="CB23" s="39"/>
      <c r="CC23" s="39"/>
      <c r="CD23" s="39"/>
      <c r="CE23" s="39"/>
    </row>
    <row r="24" spans="1:83" ht="18">
      <c r="A24" s="39"/>
      <c r="B24" s="99">
        <v>14</v>
      </c>
      <c r="C24" s="730" t="s">
        <v>156</v>
      </c>
      <c r="D24" s="731" t="s">
        <v>190</v>
      </c>
      <c r="E24" s="729">
        <v>15.3</v>
      </c>
      <c r="F24" s="729">
        <v>18.5</v>
      </c>
      <c r="G24" s="729">
        <v>14</v>
      </c>
      <c r="H24" s="139">
        <f t="shared" si="12"/>
        <v>0.21358080208301544</v>
      </c>
      <c r="I24" s="140">
        <f t="shared" si="13"/>
        <v>0.018376065000000004</v>
      </c>
      <c r="J24" s="141"/>
      <c r="K24" s="49"/>
      <c r="L24" s="50" t="str">
        <f t="shared" si="3"/>
        <v>△</v>
      </c>
      <c r="M24" s="51" t="str">
        <f t="shared" si="4"/>
        <v>△有</v>
      </c>
      <c r="N24" s="51" t="str">
        <f t="shared" si="5"/>
        <v>×有</v>
      </c>
      <c r="O24" s="39"/>
      <c r="P24" s="99">
        <v>14</v>
      </c>
      <c r="Q24" s="730"/>
      <c r="R24" s="731" t="s">
        <v>119</v>
      </c>
      <c r="S24" s="729">
        <v>36</v>
      </c>
      <c r="T24" s="729"/>
      <c r="U24" s="729"/>
      <c r="V24" s="139">
        <f t="shared" si="14"/>
        <v>0.9709078669548035</v>
      </c>
      <c r="W24" s="140">
        <f t="shared" si="15"/>
        <v>0.10173600000000001</v>
      </c>
      <c r="X24" s="142"/>
      <c r="Y24" s="49"/>
      <c r="Z24" s="50" t="str">
        <f t="shared" si="6"/>
        <v>○</v>
      </c>
      <c r="AA24" s="51" t="str">
        <f t="shared" si="7"/>
        <v>　</v>
      </c>
      <c r="AB24" s="51" t="str">
        <f t="shared" si="8"/>
        <v>　</v>
      </c>
      <c r="AC24" s="39"/>
      <c r="AD24" s="99">
        <v>14</v>
      </c>
      <c r="AE24" s="732"/>
      <c r="AF24" s="733"/>
      <c r="AG24" s="734"/>
      <c r="AH24" s="734"/>
      <c r="AI24" s="734"/>
      <c r="AJ24" s="139">
        <f t="shared" si="16"/>
      </c>
      <c r="AK24" s="140">
        <f t="shared" si="18"/>
        <v>0</v>
      </c>
      <c r="AL24" s="142"/>
      <c r="AM24" s="49"/>
      <c r="AN24" s="50">
        <f t="shared" si="9"/>
      </c>
      <c r="AO24" s="51" t="str">
        <f t="shared" si="10"/>
        <v>　</v>
      </c>
      <c r="AP24" s="51" t="str">
        <f t="shared" si="11"/>
        <v>　</v>
      </c>
      <c r="AQ24" s="39"/>
      <c r="AR24" s="99"/>
      <c r="AS24" s="143" t="s">
        <v>59</v>
      </c>
      <c r="AT24" s="144">
        <f>(COUNTIF(E11:E35,"&gt;=36")-COUNTIF(E11:E35,"&gt;=38"))+(COUNTIF(S11:S35,"&gt;=36")-COUNTIF(S11:S35,"&gt;=38"))+(COUNTIF(AG11:AG35,"&gt;=36")-COUNTIF(AG11:AG35,"&gt;=38"))</f>
        <v>6</v>
      </c>
      <c r="AU24" s="144">
        <f>SUMPRODUCT(($E$11:$E$35&gt;=36)*($E$11:$E$35&lt;38)*($C$11:$C$35="×"))+SUMPRODUCT(($S$11:$S$35&gt;=36)*($S$11:$S$35&lt;38)*($Q$11:$Q$35="×"))+SUMPRODUCT(($AG$11:$AG$35&gt;=36)*($AG$11:$AG$35&lt;38)*($AE$11:$AE$35="×"))</f>
        <v>1</v>
      </c>
      <c r="AV24" s="144">
        <f t="shared" si="17"/>
        <v>5</v>
      </c>
      <c r="AW24" s="143"/>
      <c r="AX24" s="145"/>
      <c r="AY24" s="146"/>
      <c r="AZ24" s="147"/>
      <c r="BA24" s="148"/>
      <c r="BB24" s="39"/>
      <c r="BC24" s="188"/>
      <c r="BD24" s="189"/>
      <c r="BE24" s="190" t="s">
        <v>99</v>
      </c>
      <c r="BF24" s="735">
        <f>VLOOKUP(BD27,'条件'!$B$12:$D$20,'条件'!$G$13,TRUE)</f>
        <v>95</v>
      </c>
      <c r="BG24" s="155">
        <v>0.4</v>
      </c>
      <c r="BH24" s="203">
        <f>BF24/((CA71/2)^2*PI())</f>
        <v>571.1956694934333</v>
      </c>
      <c r="BI24" s="204">
        <f>BH48</f>
        <v>26.924999999999994</v>
      </c>
      <c r="BJ24" s="205">
        <f>((BH48/(BK24*4/8))*2)</f>
        <v>1.0769999999999997</v>
      </c>
      <c r="BK24" s="736">
        <f>VLOOKUP(BD27,'条件'!$B$26:$D$35,'条件'!$G$13,TRUE)</f>
        <v>100</v>
      </c>
      <c r="BM24" s="800" t="s">
        <v>149</v>
      </c>
      <c r="BN24" s="745" t="s">
        <v>249</v>
      </c>
      <c r="BO24" s="741"/>
      <c r="BP24" s="39"/>
      <c r="BQ24" s="39"/>
      <c r="BR24" s="138"/>
      <c r="BS24" s="39"/>
      <c r="BT24" s="39"/>
      <c r="BU24" s="39"/>
      <c r="BV24" s="39"/>
      <c r="BW24" s="39"/>
      <c r="BX24" s="39"/>
      <c r="BY24" s="39"/>
      <c r="BZ24" s="39"/>
      <c r="CA24" s="39"/>
      <c r="CB24" s="39"/>
      <c r="CC24" s="39"/>
      <c r="CD24" s="39"/>
      <c r="CE24" s="39"/>
    </row>
    <row r="25" spans="1:83" ht="18">
      <c r="A25" s="39"/>
      <c r="B25" s="99">
        <v>15</v>
      </c>
      <c r="C25" s="727"/>
      <c r="D25" s="728" t="s">
        <v>190</v>
      </c>
      <c r="E25" s="729">
        <v>36.4</v>
      </c>
      <c r="F25" s="729"/>
      <c r="G25" s="729"/>
      <c r="H25" s="139">
        <f t="shared" si="12"/>
        <v>1.040514588356018</v>
      </c>
      <c r="I25" s="140">
        <f t="shared" si="13"/>
        <v>0.10400936</v>
      </c>
      <c r="J25" s="141"/>
      <c r="K25" s="49"/>
      <c r="L25" s="50" t="str">
        <f t="shared" si="3"/>
        <v>○</v>
      </c>
      <c r="M25" s="51" t="str">
        <f t="shared" si="4"/>
        <v>　</v>
      </c>
      <c r="N25" s="51" t="str">
        <f t="shared" si="5"/>
        <v>　</v>
      </c>
      <c r="O25" s="39"/>
      <c r="P25" s="99">
        <v>15</v>
      </c>
      <c r="Q25" s="730"/>
      <c r="R25" s="731" t="s">
        <v>119</v>
      </c>
      <c r="S25" s="729">
        <v>39.5</v>
      </c>
      <c r="T25" s="729"/>
      <c r="U25" s="729"/>
      <c r="V25" s="139">
        <f t="shared" si="14"/>
        <v>1.1502563953399658</v>
      </c>
      <c r="W25" s="140">
        <f t="shared" si="15"/>
        <v>0.12247962500000001</v>
      </c>
      <c r="X25" s="142"/>
      <c r="Y25" s="49"/>
      <c r="Z25" s="50" t="str">
        <f t="shared" si="6"/>
        <v>○</v>
      </c>
      <c r="AA25" s="51" t="str">
        <f t="shared" si="7"/>
        <v>　</v>
      </c>
      <c r="AB25" s="51" t="str">
        <f t="shared" si="8"/>
        <v>　</v>
      </c>
      <c r="AC25" s="39"/>
      <c r="AD25" s="99">
        <v>15</v>
      </c>
      <c r="AE25" s="732"/>
      <c r="AF25" s="733"/>
      <c r="AG25" s="734"/>
      <c r="AH25" s="734"/>
      <c r="AI25" s="734"/>
      <c r="AJ25" s="139">
        <f t="shared" si="16"/>
      </c>
      <c r="AK25" s="140">
        <f t="shared" si="18"/>
        <v>0</v>
      </c>
      <c r="AL25" s="142"/>
      <c r="AM25" s="49"/>
      <c r="AN25" s="50">
        <f t="shared" si="9"/>
      </c>
      <c r="AO25" s="51" t="str">
        <f t="shared" si="10"/>
        <v>　</v>
      </c>
      <c r="AP25" s="51" t="str">
        <f t="shared" si="11"/>
        <v>　</v>
      </c>
      <c r="AQ25" s="39"/>
      <c r="AR25" s="99"/>
      <c r="AS25" s="143" t="s">
        <v>60</v>
      </c>
      <c r="AT25" s="144">
        <f>(COUNTIF(E11:E35,"&gt;=38")-COUNTIF(E11:E35,"&gt;=40"))+(COUNTIF(S11:S35,"&gt;=38")-COUNTIF(S11:S35,"&gt;=40"))+(COUNTIF(AG11:AG35,"&gt;=38")-COUNTIF(AG11:AG35,"&gt;=40"))</f>
        <v>2</v>
      </c>
      <c r="AU25" s="144">
        <f>SUMPRODUCT(($E$11:$E$35&gt;=38)*($E$11:$E$35&lt;40)*($C$11:$C$35="×"))+SUMPRODUCT(($S$11:$S$35&gt;=38)*($S$11:$S$35&lt;40)*($Q$11:$Q$35="×"))+SUMPRODUCT(($AG$11:$AG$35&gt;=38)*($AG$11:$AG$35&lt;40)*($AE$11:$AE$35="×"))</f>
        <v>0</v>
      </c>
      <c r="AV25" s="144">
        <f t="shared" si="17"/>
        <v>2</v>
      </c>
      <c r="AW25" s="143"/>
      <c r="AX25" s="145"/>
      <c r="AY25" s="146"/>
      <c r="AZ25" s="147"/>
      <c r="BA25" s="148"/>
      <c r="BB25" s="39"/>
      <c r="BC25" s="804" t="str">
        <f>BC48</f>
        <v>１０年先の間伐後</v>
      </c>
      <c r="BD25" s="809"/>
      <c r="BE25" s="796" t="s">
        <v>103</v>
      </c>
      <c r="BF25" s="191">
        <f>BF24*0.62</f>
        <v>58.9</v>
      </c>
      <c r="BG25" s="164" t="s">
        <v>153</v>
      </c>
      <c r="BH25" s="192">
        <f>BH24*0.62</f>
        <v>354.1413150859287</v>
      </c>
      <c r="BI25" s="193">
        <f>$AT$49*0.62</f>
        <v>14.833499999999995</v>
      </c>
      <c r="BJ25" s="206">
        <f>(BJ24-BJ27)*0.62+BJ27</f>
        <v>0.6677399999999998</v>
      </c>
      <c r="BK25" s="168">
        <f>BK24*0.62</f>
        <v>62</v>
      </c>
      <c r="BL25" s="39"/>
      <c r="BM25" s="801"/>
      <c r="BN25" s="745" t="s">
        <v>247</v>
      </c>
      <c r="BO25" s="741"/>
      <c r="BP25" s="39"/>
      <c r="BQ25" s="39"/>
      <c r="BR25" s="138"/>
      <c r="BS25" s="39"/>
      <c r="BT25" s="39"/>
      <c r="BU25" s="39"/>
      <c r="BV25" s="39"/>
      <c r="BW25" s="39"/>
      <c r="BX25" s="39"/>
      <c r="BY25" s="39"/>
      <c r="BZ25" s="39"/>
      <c r="CA25" s="39"/>
      <c r="CB25" s="39"/>
      <c r="CC25" s="39"/>
      <c r="CD25" s="39"/>
      <c r="CE25" s="39"/>
    </row>
    <row r="26" spans="1:83" ht="18">
      <c r="A26" s="39"/>
      <c r="B26" s="99">
        <v>16</v>
      </c>
      <c r="C26" s="730" t="s">
        <v>299</v>
      </c>
      <c r="D26" s="731" t="s">
        <v>190</v>
      </c>
      <c r="E26" s="729">
        <v>28.5</v>
      </c>
      <c r="F26" s="729"/>
      <c r="G26" s="729"/>
      <c r="H26" s="139">
        <f t="shared" si="12"/>
        <v>0.6654596328735352</v>
      </c>
      <c r="I26" s="140">
        <f t="shared" si="13"/>
        <v>0.063761625</v>
      </c>
      <c r="J26" s="141"/>
      <c r="K26" s="49"/>
      <c r="L26" s="50" t="str">
        <f t="shared" si="3"/>
        <v>△</v>
      </c>
      <c r="M26" s="51" t="str">
        <f t="shared" si="4"/>
        <v>　</v>
      </c>
      <c r="N26" s="51" t="str">
        <f t="shared" si="5"/>
        <v>　</v>
      </c>
      <c r="O26" s="39"/>
      <c r="P26" s="99">
        <v>16</v>
      </c>
      <c r="Q26" s="730" t="s">
        <v>156</v>
      </c>
      <c r="R26" s="731" t="s">
        <v>119</v>
      </c>
      <c r="S26" s="729">
        <v>20.4</v>
      </c>
      <c r="T26" s="729"/>
      <c r="U26" s="729"/>
      <c r="V26" s="139">
        <f t="shared" si="14"/>
        <v>0.34396758675575256</v>
      </c>
      <c r="W26" s="140">
        <f t="shared" si="15"/>
        <v>0.03266856</v>
      </c>
      <c r="X26" s="142"/>
      <c r="Y26" s="49"/>
      <c r="Z26" s="50" t="str">
        <f t="shared" si="6"/>
        <v>△</v>
      </c>
      <c r="AA26" s="51" t="str">
        <f t="shared" si="7"/>
        <v>　</v>
      </c>
      <c r="AB26" s="51" t="str">
        <f t="shared" si="8"/>
        <v>　</v>
      </c>
      <c r="AC26" s="39"/>
      <c r="AD26" s="99">
        <v>16</v>
      </c>
      <c r="AE26" s="732"/>
      <c r="AF26" s="733"/>
      <c r="AG26" s="734"/>
      <c r="AH26" s="734"/>
      <c r="AI26" s="734"/>
      <c r="AJ26" s="139">
        <f t="shared" si="16"/>
      </c>
      <c r="AK26" s="140">
        <f t="shared" si="18"/>
        <v>0</v>
      </c>
      <c r="AL26" s="142"/>
      <c r="AM26" s="49"/>
      <c r="AN26" s="50">
        <f t="shared" si="9"/>
      </c>
      <c r="AO26" s="51" t="str">
        <f t="shared" si="10"/>
        <v>　</v>
      </c>
      <c r="AP26" s="51" t="str">
        <f t="shared" si="11"/>
        <v>　</v>
      </c>
      <c r="AQ26" s="39"/>
      <c r="AR26" s="99"/>
      <c r="AS26" s="143" t="s">
        <v>61</v>
      </c>
      <c r="AT26" s="144">
        <f>(COUNTIF(E11:E35,"&gt;=40")-COUNTIF(E11:E35,"&gt;=42"))+(COUNTIF(S11:S35,"&gt;=40")-COUNTIF(S11:S35,"&gt;=42"))+(COUNTIF(AG11:AG35,"&gt;=40")-COUNTIF(AG11:AG35,"&gt;=42"))</f>
        <v>2</v>
      </c>
      <c r="AU26" s="144">
        <f>SUMPRODUCT(($E$11:$E$35&gt;=40)*($E$11:$E$35&lt;42)*($C$11:$C$35="×"))+SUMPRODUCT(($S$11:$S$35&gt;=40)*($S$11:$S$35&lt;42)*($Q$11:$Q$35="×"))+SUMPRODUCT(($AG$11:$AG$35&gt;=40)*($AG$11:$AG$35&lt;42)*($AE$11:$AE$35="×"))</f>
        <v>0</v>
      </c>
      <c r="AV26" s="144">
        <f t="shared" si="17"/>
        <v>2</v>
      </c>
      <c r="AW26" s="143"/>
      <c r="AX26" s="145"/>
      <c r="AY26" s="146"/>
      <c r="AZ26" s="147"/>
      <c r="BA26" s="148"/>
      <c r="BB26" s="39"/>
      <c r="BC26" s="804"/>
      <c r="BD26" s="809"/>
      <c r="BE26" s="797"/>
      <c r="BF26" s="194">
        <f>BF24*0.38</f>
        <v>36.1</v>
      </c>
      <c r="BG26" s="173" t="s">
        <v>154</v>
      </c>
      <c r="BH26" s="195">
        <f>BH24*0.38</f>
        <v>217.05435440750466</v>
      </c>
      <c r="BI26" s="196">
        <f>$AT$49*0.38</f>
        <v>9.091499999999998</v>
      </c>
      <c r="BJ26" s="207">
        <f>(BJ24-BJ27)*0.38+BJ27</f>
        <v>0.4092599999999999</v>
      </c>
      <c r="BK26" s="177">
        <f>BK24*0.38</f>
        <v>38</v>
      </c>
      <c r="BL26" s="39"/>
      <c r="BM26" s="159" t="s">
        <v>150</v>
      </c>
      <c r="BN26" s="208">
        <v>150</v>
      </c>
      <c r="BO26" s="209">
        <v>130</v>
      </c>
      <c r="BP26" s="39"/>
      <c r="BQ26" s="39"/>
      <c r="BR26" s="211"/>
      <c r="BS26" s="39"/>
      <c r="BT26" s="39"/>
      <c r="BU26" s="39"/>
      <c r="BV26" s="39"/>
      <c r="BW26" s="39"/>
      <c r="BX26" s="39"/>
      <c r="BY26" s="39"/>
      <c r="BZ26" s="39"/>
      <c r="CA26" s="39"/>
      <c r="CB26" s="39"/>
      <c r="CC26" s="39"/>
      <c r="CD26" s="39"/>
      <c r="CE26" s="39"/>
    </row>
    <row r="27" spans="1:83" ht="18.75" thickBot="1">
      <c r="A27" s="39"/>
      <c r="B27" s="99">
        <v>17</v>
      </c>
      <c r="C27" s="730"/>
      <c r="D27" s="731"/>
      <c r="E27" s="729"/>
      <c r="F27" s="729"/>
      <c r="G27" s="729"/>
      <c r="H27" s="139">
        <f t="shared" si="12"/>
      </c>
      <c r="I27" s="140">
        <f t="shared" si="13"/>
        <v>0</v>
      </c>
      <c r="J27" s="212"/>
      <c r="K27" s="49"/>
      <c r="L27" s="50">
        <f t="shared" si="3"/>
      </c>
      <c r="M27" s="51" t="str">
        <f t="shared" si="4"/>
        <v>　</v>
      </c>
      <c r="N27" s="51" t="str">
        <f t="shared" si="5"/>
        <v>　</v>
      </c>
      <c r="O27" s="39"/>
      <c r="P27" s="99">
        <v>17</v>
      </c>
      <c r="Q27" s="730"/>
      <c r="R27" s="731" t="s">
        <v>119</v>
      </c>
      <c r="S27" s="729">
        <v>29.5</v>
      </c>
      <c r="T27" s="729">
        <v>21.1</v>
      </c>
      <c r="U27" s="729">
        <v>16.1</v>
      </c>
      <c r="V27" s="139">
        <f t="shared" si="14"/>
        <v>0.6748102307319641</v>
      </c>
      <c r="W27" s="140">
        <f t="shared" si="15"/>
        <v>0.068314625</v>
      </c>
      <c r="X27" s="142"/>
      <c r="Y27" s="49"/>
      <c r="Z27" s="50" t="str">
        <f t="shared" si="6"/>
        <v>△</v>
      </c>
      <c r="AA27" s="51" t="str">
        <f t="shared" si="7"/>
        <v>△有</v>
      </c>
      <c r="AB27" s="51" t="str">
        <f t="shared" si="8"/>
        <v>　</v>
      </c>
      <c r="AC27" s="39"/>
      <c r="AD27" s="99">
        <v>17</v>
      </c>
      <c r="AE27" s="732"/>
      <c r="AF27" s="733"/>
      <c r="AG27" s="734"/>
      <c r="AH27" s="734"/>
      <c r="AI27" s="734"/>
      <c r="AJ27" s="139">
        <f t="shared" si="16"/>
      </c>
      <c r="AK27" s="140">
        <f t="shared" si="18"/>
        <v>0</v>
      </c>
      <c r="AL27" s="142"/>
      <c r="AM27" s="49"/>
      <c r="AN27" s="50">
        <f t="shared" si="9"/>
      </c>
      <c r="AO27" s="51" t="str">
        <f t="shared" si="10"/>
        <v>　</v>
      </c>
      <c r="AP27" s="51" t="str">
        <f t="shared" si="11"/>
        <v>　</v>
      </c>
      <c r="AQ27" s="39"/>
      <c r="AR27" s="99"/>
      <c r="AS27" s="143" t="s">
        <v>62</v>
      </c>
      <c r="AT27" s="144">
        <f>(COUNTIF(E11:E35,"&gt;=42")-COUNTIF(E11:E35,"&gt;=44"))+(COUNTIF(S11:S35,"&gt;=42")-COUNTIF(S11:S35,"&gt;=44"))+(COUNTIF(AG11:AG35,"&gt;=42")-COUNTIF(AG11:AG35,"&gt;=44"))</f>
        <v>0</v>
      </c>
      <c r="AU27" s="144">
        <f>SUMPRODUCT(($E$11:$E$35&gt;=42)*($E$11:$E$35&lt;44)*($C$11:$C$35="×"))+SUMPRODUCT(($S$11:$S$35&gt;=42)*($S$11:$S$35&lt;44)*($Q$11:$Q$35="×"))+SUMPRODUCT(($AG$11:$AG$35&gt;=42)*($AG$11:$AG$35&lt;44)*($AE$11:$AE$35="×"))</f>
        <v>0</v>
      </c>
      <c r="AV27" s="144">
        <f t="shared" si="17"/>
        <v>0</v>
      </c>
      <c r="AW27" s="143"/>
      <c r="AX27" s="145"/>
      <c r="AY27" s="146"/>
      <c r="AZ27" s="147"/>
      <c r="BA27" s="148"/>
      <c r="BB27" s="39"/>
      <c r="BC27" s="179" t="s">
        <v>157</v>
      </c>
      <c r="BD27" s="180">
        <f>BG48</f>
        <v>46.01764705882353</v>
      </c>
      <c r="BE27" s="181" t="s">
        <v>98</v>
      </c>
      <c r="BF27" s="197">
        <v>0</v>
      </c>
      <c r="BG27" s="183">
        <v>0</v>
      </c>
      <c r="BH27" s="198">
        <v>0</v>
      </c>
      <c r="BI27" s="185">
        <v>0</v>
      </c>
      <c r="BJ27" s="186">
        <v>0</v>
      </c>
      <c r="BK27" s="199">
        <v>0</v>
      </c>
      <c r="BL27" s="39"/>
      <c r="BM27" s="169" t="s">
        <v>109</v>
      </c>
      <c r="BN27" s="208">
        <v>140</v>
      </c>
      <c r="BO27" s="210">
        <v>120</v>
      </c>
      <c r="BP27" s="39"/>
      <c r="BQ27" s="39"/>
      <c r="BR27" s="211"/>
      <c r="BS27" s="39"/>
      <c r="BT27" s="39"/>
      <c r="BU27" s="39"/>
      <c r="BV27" s="39"/>
      <c r="BW27" s="39"/>
      <c r="BX27" s="39"/>
      <c r="BY27" s="39"/>
      <c r="BZ27" s="39"/>
      <c r="CA27" s="39"/>
      <c r="CB27" s="39"/>
      <c r="CC27" s="39"/>
      <c r="CD27" s="39"/>
      <c r="CE27" s="39"/>
    </row>
    <row r="28" spans="1:83" ht="18">
      <c r="A28" s="39"/>
      <c r="B28" s="99">
        <v>18</v>
      </c>
      <c r="C28" s="730"/>
      <c r="D28" s="731"/>
      <c r="E28" s="729"/>
      <c r="F28" s="729"/>
      <c r="G28" s="729"/>
      <c r="H28" s="139">
        <f t="shared" si="12"/>
      </c>
      <c r="I28" s="140">
        <f t="shared" si="13"/>
        <v>0</v>
      </c>
      <c r="J28" s="212"/>
      <c r="K28" s="49"/>
      <c r="L28" s="50">
        <f t="shared" si="3"/>
      </c>
      <c r="M28" s="51" t="str">
        <f t="shared" si="4"/>
        <v>　</v>
      </c>
      <c r="N28" s="51" t="str">
        <f t="shared" si="5"/>
        <v>　</v>
      </c>
      <c r="O28" s="39"/>
      <c r="P28" s="99">
        <v>18</v>
      </c>
      <c r="Q28" s="730" t="s">
        <v>156</v>
      </c>
      <c r="R28" s="731" t="s">
        <v>119</v>
      </c>
      <c r="S28" s="729">
        <v>19.7</v>
      </c>
      <c r="T28" s="729"/>
      <c r="U28" s="729"/>
      <c r="V28" s="139">
        <f t="shared" si="14"/>
        <v>0.32271093130111694</v>
      </c>
      <c r="W28" s="140">
        <f t="shared" si="15"/>
        <v>0.030465065</v>
      </c>
      <c r="X28" s="142"/>
      <c r="Y28" s="49"/>
      <c r="Z28" s="50" t="str">
        <f t="shared" si="6"/>
        <v>△</v>
      </c>
      <c r="AA28" s="51" t="str">
        <f t="shared" si="7"/>
        <v>　</v>
      </c>
      <c r="AB28" s="51" t="str">
        <f t="shared" si="8"/>
        <v>　</v>
      </c>
      <c r="AC28" s="39"/>
      <c r="AD28" s="99">
        <v>18</v>
      </c>
      <c r="AE28" s="732"/>
      <c r="AF28" s="733"/>
      <c r="AG28" s="734"/>
      <c r="AH28" s="734"/>
      <c r="AI28" s="734"/>
      <c r="AJ28" s="139">
        <f t="shared" si="16"/>
      </c>
      <c r="AK28" s="140">
        <f t="shared" si="18"/>
        <v>0</v>
      </c>
      <c r="AL28" s="142"/>
      <c r="AM28" s="49"/>
      <c r="AN28" s="50">
        <f t="shared" si="9"/>
      </c>
      <c r="AO28" s="51" t="str">
        <f t="shared" si="10"/>
        <v>　</v>
      </c>
      <c r="AP28" s="51" t="str">
        <f t="shared" si="11"/>
        <v>　</v>
      </c>
      <c r="AQ28" s="39"/>
      <c r="AR28" s="99"/>
      <c r="AS28" s="143" t="s">
        <v>63</v>
      </c>
      <c r="AT28" s="144">
        <f>(COUNTIF(E11:E35,"&gt;=44")-COUNTIF(E11:E35,"&gt;=46"))+(COUNTIF(S11:S35,"&gt;=44")-COUNTIF(S11:S35,"&gt;=46"))+(COUNTIF(AG11:AG35,"&gt;=44")-COUNTIF(AG11:AG35,"&gt;=46"))</f>
        <v>2</v>
      </c>
      <c r="AU28" s="144">
        <f>SUMPRODUCT(($E$11:$E$35&gt;=44)*($E$11:$E$35&lt;46)*($C$11:$C$35="×"))+SUMPRODUCT(($S$11:$S$35&gt;=44)*($S$11:$S$35&lt;46)*($Q$11:$Q$35="×"))+SUMPRODUCT(($AG$11:$AG$35&gt;=44)*($AG$11:$AG$35&lt;46)*($AE$11:$AE$35="×"))</f>
        <v>0</v>
      </c>
      <c r="AV28" s="144">
        <f t="shared" si="17"/>
        <v>2</v>
      </c>
      <c r="AW28" s="143"/>
      <c r="AX28" s="145"/>
      <c r="AY28" s="146"/>
      <c r="AZ28" s="147"/>
      <c r="BA28" s="148"/>
      <c r="BB28" s="39"/>
      <c r="BC28" s="39"/>
      <c r="BD28" s="39"/>
      <c r="BE28" s="39"/>
      <c r="BF28" s="39"/>
      <c r="BG28" s="39"/>
      <c r="BH28" s="39"/>
      <c r="BI28" s="39"/>
      <c r="BJ28" s="39"/>
      <c r="BK28" s="39"/>
      <c r="BL28" s="39"/>
      <c r="BM28" s="169" t="s">
        <v>110</v>
      </c>
      <c r="BN28" s="208">
        <v>130</v>
      </c>
      <c r="BO28" s="210">
        <v>110</v>
      </c>
      <c r="BP28" s="39"/>
      <c r="BQ28" s="39"/>
      <c r="BR28" s="211"/>
      <c r="BS28" s="39"/>
      <c r="BT28" s="39"/>
      <c r="BU28" s="39"/>
      <c r="BV28" s="39"/>
      <c r="BW28" s="39"/>
      <c r="BX28" s="39"/>
      <c r="BY28" s="39"/>
      <c r="BZ28" s="39"/>
      <c r="CA28" s="39"/>
      <c r="CB28" s="39"/>
      <c r="CC28" s="39"/>
      <c r="CD28" s="39"/>
      <c r="CE28" s="39"/>
    </row>
    <row r="29" spans="1:83" ht="18">
      <c r="A29" s="39"/>
      <c r="B29" s="99">
        <v>19</v>
      </c>
      <c r="C29" s="730"/>
      <c r="D29" s="731"/>
      <c r="E29" s="729"/>
      <c r="F29" s="729"/>
      <c r="G29" s="729"/>
      <c r="H29" s="139">
        <f t="shared" si="12"/>
      </c>
      <c r="I29" s="140">
        <f t="shared" si="13"/>
        <v>0</v>
      </c>
      <c r="J29" s="212"/>
      <c r="K29" s="49"/>
      <c r="L29" s="50">
        <f t="shared" si="3"/>
      </c>
      <c r="M29" s="51" t="str">
        <f t="shared" si="4"/>
        <v>　</v>
      </c>
      <c r="N29" s="51" t="str">
        <f t="shared" si="5"/>
        <v>　</v>
      </c>
      <c r="O29" s="39"/>
      <c r="P29" s="99">
        <v>19</v>
      </c>
      <c r="Q29" s="730"/>
      <c r="R29" s="731"/>
      <c r="S29" s="729"/>
      <c r="T29" s="729"/>
      <c r="U29" s="729"/>
      <c r="V29" s="139">
        <f t="shared" si="14"/>
      </c>
      <c r="W29" s="140">
        <f t="shared" si="15"/>
        <v>0</v>
      </c>
      <c r="X29" s="142"/>
      <c r="Y29" s="49"/>
      <c r="Z29" s="50">
        <f t="shared" si="6"/>
      </c>
      <c r="AA29" s="51" t="str">
        <f t="shared" si="7"/>
        <v>　</v>
      </c>
      <c r="AB29" s="51" t="str">
        <f t="shared" si="8"/>
        <v>　</v>
      </c>
      <c r="AC29" s="39"/>
      <c r="AD29" s="99">
        <v>19</v>
      </c>
      <c r="AE29" s="732"/>
      <c r="AF29" s="733"/>
      <c r="AG29" s="734"/>
      <c r="AH29" s="734"/>
      <c r="AI29" s="734"/>
      <c r="AJ29" s="139">
        <f t="shared" si="16"/>
      </c>
      <c r="AK29" s="140">
        <f t="shared" si="18"/>
        <v>0</v>
      </c>
      <c r="AL29" s="142"/>
      <c r="AM29" s="49"/>
      <c r="AN29" s="50">
        <f t="shared" si="9"/>
      </c>
      <c r="AO29" s="51" t="str">
        <f t="shared" si="10"/>
        <v>　</v>
      </c>
      <c r="AP29" s="51" t="str">
        <f t="shared" si="11"/>
        <v>　</v>
      </c>
      <c r="AQ29" s="39"/>
      <c r="AR29" s="99"/>
      <c r="AS29" s="143" t="s">
        <v>64</v>
      </c>
      <c r="AT29" s="144">
        <f>(COUNTIF(E11:E35,"&gt;=46")-COUNTIF(E11:E35,"&gt;=48"))+(COUNTIF(S11:S35,"&gt;=46")-COUNTIF(S11:S35,"&gt;=48"))+(COUNTIF(AG11:AG35,"&gt;=46")-COUNTIF(AG11:AG35,"&gt;=48"))</f>
        <v>0</v>
      </c>
      <c r="AU29" s="144">
        <f>SUMPRODUCT(($E$11:$E$35&gt;=46)*($E$11:$E$35&lt;48)*($C$11:$C$35="×"))+SUMPRODUCT(($S$11:$S$35&gt;=46)*($S$11:$S$35&lt;48)*($Q$11:$Q$35="×"))+SUMPRODUCT(($AG$11:$AG$35&gt;=46)*($AG$11:$AG$35&lt;48)*($AE$11:$AE$35="×"))</f>
        <v>0</v>
      </c>
      <c r="AV29" s="144">
        <f t="shared" si="17"/>
        <v>0</v>
      </c>
      <c r="AW29" s="143"/>
      <c r="AX29" s="145"/>
      <c r="AY29" s="146"/>
      <c r="AZ29" s="147"/>
      <c r="BA29" s="148"/>
      <c r="BB29" s="39"/>
      <c r="BC29" s="39"/>
      <c r="BD29" s="39"/>
      <c r="BE29" s="39"/>
      <c r="BF29" s="39"/>
      <c r="BG29" s="39"/>
      <c r="BH29" s="39"/>
      <c r="BI29" s="39"/>
      <c r="BJ29" s="39"/>
      <c r="BK29" s="39"/>
      <c r="BL29" s="39"/>
      <c r="BM29" s="169" t="s">
        <v>111</v>
      </c>
      <c r="BN29" s="208">
        <v>120</v>
      </c>
      <c r="BO29" s="210">
        <v>100</v>
      </c>
      <c r="BP29" s="39"/>
      <c r="BQ29" s="39"/>
      <c r="BR29" s="211"/>
      <c r="BS29" s="39"/>
      <c r="BT29" s="39"/>
      <c r="BU29" s="39"/>
      <c r="BV29" s="39"/>
      <c r="BW29" s="39"/>
      <c r="BX29" s="39"/>
      <c r="BY29" s="39"/>
      <c r="BZ29" s="39"/>
      <c r="CA29" s="39"/>
      <c r="CB29" s="39"/>
      <c r="CC29" s="39"/>
      <c r="CD29" s="39"/>
      <c r="CE29" s="39"/>
    </row>
    <row r="30" spans="1:83" ht="18">
      <c r="A30" s="39"/>
      <c r="B30" s="99">
        <v>20</v>
      </c>
      <c r="C30" s="730"/>
      <c r="D30" s="731"/>
      <c r="E30" s="729"/>
      <c r="F30" s="729"/>
      <c r="G30" s="729"/>
      <c r="H30" s="139">
        <f t="shared" si="12"/>
      </c>
      <c r="I30" s="140">
        <f t="shared" si="13"/>
        <v>0</v>
      </c>
      <c r="J30" s="142"/>
      <c r="K30" s="49"/>
      <c r="L30" s="50">
        <f t="shared" si="3"/>
      </c>
      <c r="M30" s="51" t="str">
        <f t="shared" si="4"/>
        <v>　</v>
      </c>
      <c r="N30" s="51" t="str">
        <f t="shared" si="5"/>
        <v>　</v>
      </c>
      <c r="O30" s="39"/>
      <c r="P30" s="99">
        <v>20</v>
      </c>
      <c r="Q30" s="730"/>
      <c r="R30" s="731"/>
      <c r="S30" s="729"/>
      <c r="T30" s="729"/>
      <c r="U30" s="729"/>
      <c r="V30" s="139">
        <f t="shared" si="14"/>
      </c>
      <c r="W30" s="140">
        <f t="shared" si="15"/>
        <v>0</v>
      </c>
      <c r="X30" s="142"/>
      <c r="Y30" s="49"/>
      <c r="Z30" s="50">
        <f t="shared" si="6"/>
      </c>
      <c r="AA30" s="51" t="str">
        <f t="shared" si="7"/>
        <v>　</v>
      </c>
      <c r="AB30" s="51" t="str">
        <f t="shared" si="8"/>
        <v>　</v>
      </c>
      <c r="AC30" s="39"/>
      <c r="AD30" s="99">
        <v>20</v>
      </c>
      <c r="AE30" s="732"/>
      <c r="AF30" s="733"/>
      <c r="AG30" s="734"/>
      <c r="AH30" s="734"/>
      <c r="AI30" s="734"/>
      <c r="AJ30" s="139">
        <f t="shared" si="16"/>
      </c>
      <c r="AK30" s="140">
        <f t="shared" si="18"/>
        <v>0</v>
      </c>
      <c r="AL30" s="142"/>
      <c r="AM30" s="49"/>
      <c r="AN30" s="50">
        <f t="shared" si="9"/>
      </c>
      <c r="AO30" s="51" t="str">
        <f t="shared" si="10"/>
        <v>　</v>
      </c>
      <c r="AP30" s="51" t="str">
        <f t="shared" si="11"/>
        <v>　</v>
      </c>
      <c r="AQ30" s="39"/>
      <c r="AR30" s="99"/>
      <c r="AS30" s="143" t="s">
        <v>65</v>
      </c>
      <c r="AT30" s="144">
        <f>(COUNTIF(E11:E35,"&gt;=48")-COUNTIF(E11:E35,"&gt;=50"))+(COUNTIF(S11:S35,"&gt;=48")-COUNTIF(S11:S35,"&gt;=50"))+(COUNTIF(AG11:AG35,"&gt;=48")-COUNTIF(AG11:AG35,"&gt;=50"))</f>
        <v>0</v>
      </c>
      <c r="AU30" s="144">
        <f>SUMPRODUCT(($E$11:$E$35&gt;=48)*($E$11:$E$35&lt;50)*($C$11:$C$35="×"))+SUMPRODUCT(($S$11:$S$35&gt;=48)*($S$11:$S$35&lt;50)*($Q$11:$Q$35="×"))+SUMPRODUCT(($AG$11:$AG$35&gt;=48)*($AG$11:$AG$35&lt;50)*($AE$11:$AE$35="×"))</f>
        <v>0</v>
      </c>
      <c r="AV30" s="144">
        <f t="shared" si="17"/>
        <v>0</v>
      </c>
      <c r="AW30" s="143"/>
      <c r="AX30" s="145"/>
      <c r="AY30" s="146"/>
      <c r="AZ30" s="213"/>
      <c r="BA30" s="148"/>
      <c r="BB30" s="39"/>
      <c r="BC30" s="39"/>
      <c r="BD30" s="39"/>
      <c r="BE30" s="39"/>
      <c r="BF30" s="39"/>
      <c r="BG30" s="39"/>
      <c r="BH30" s="39"/>
      <c r="BI30" s="39"/>
      <c r="BJ30" s="39"/>
      <c r="BK30" s="39"/>
      <c r="BL30" s="39"/>
      <c r="BM30" s="169" t="s">
        <v>112</v>
      </c>
      <c r="BN30" s="208">
        <v>110</v>
      </c>
      <c r="BO30" s="210">
        <v>90</v>
      </c>
      <c r="BP30" s="39"/>
      <c r="BQ30" s="39"/>
      <c r="BR30" s="211"/>
      <c r="BS30" s="39"/>
      <c r="BT30" s="39"/>
      <c r="BU30" s="39"/>
      <c r="BV30" s="39"/>
      <c r="BW30" s="39"/>
      <c r="BX30" s="39"/>
      <c r="BY30" s="39"/>
      <c r="BZ30" s="39"/>
      <c r="CA30" s="39"/>
      <c r="CB30" s="39"/>
      <c r="CC30" s="39"/>
      <c r="CD30" s="39"/>
      <c r="CE30" s="39"/>
    </row>
    <row r="31" spans="1:83" ht="18">
      <c r="A31" s="39"/>
      <c r="B31" s="99">
        <v>21</v>
      </c>
      <c r="C31" s="730"/>
      <c r="D31" s="731"/>
      <c r="E31" s="729"/>
      <c r="F31" s="729"/>
      <c r="G31" s="729"/>
      <c r="H31" s="139">
        <f t="shared" si="12"/>
      </c>
      <c r="I31" s="140">
        <f t="shared" si="13"/>
        <v>0</v>
      </c>
      <c r="J31" s="142"/>
      <c r="K31" s="49"/>
      <c r="L31" s="50">
        <f t="shared" si="3"/>
      </c>
      <c r="M31" s="51" t="str">
        <f t="shared" si="4"/>
        <v>　</v>
      </c>
      <c r="N31" s="51" t="str">
        <f t="shared" si="5"/>
        <v>　</v>
      </c>
      <c r="O31" s="39"/>
      <c r="P31" s="99">
        <v>21</v>
      </c>
      <c r="Q31" s="730"/>
      <c r="R31" s="731"/>
      <c r="S31" s="729"/>
      <c r="T31" s="729"/>
      <c r="U31" s="729"/>
      <c r="V31" s="139">
        <f t="shared" si="14"/>
      </c>
      <c r="W31" s="140">
        <f t="shared" si="15"/>
        <v>0</v>
      </c>
      <c r="X31" s="142"/>
      <c r="Y31" s="49"/>
      <c r="Z31" s="50">
        <f t="shared" si="6"/>
      </c>
      <c r="AA31" s="51" t="str">
        <f t="shared" si="7"/>
        <v>　</v>
      </c>
      <c r="AB31" s="51" t="str">
        <f t="shared" si="8"/>
        <v>　</v>
      </c>
      <c r="AC31" s="39"/>
      <c r="AD31" s="99">
        <v>21</v>
      </c>
      <c r="AE31" s="732"/>
      <c r="AF31" s="733"/>
      <c r="AG31" s="734"/>
      <c r="AH31" s="734"/>
      <c r="AI31" s="734"/>
      <c r="AJ31" s="139">
        <f t="shared" si="16"/>
      </c>
      <c r="AK31" s="140">
        <f t="shared" si="18"/>
        <v>0</v>
      </c>
      <c r="AL31" s="142"/>
      <c r="AM31" s="49"/>
      <c r="AN31" s="50">
        <f t="shared" si="9"/>
      </c>
      <c r="AO31" s="51" t="str">
        <f t="shared" si="10"/>
        <v>　</v>
      </c>
      <c r="AP31" s="51" t="str">
        <f t="shared" si="11"/>
        <v>　</v>
      </c>
      <c r="AQ31" s="39"/>
      <c r="AR31" s="99"/>
      <c r="AS31" s="143" t="s">
        <v>66</v>
      </c>
      <c r="AT31" s="144">
        <f>(COUNTIF(E11:E35,"&gt;=50")-COUNTIF(E11:E35,"&gt;=52"))+(COUNTIF(S11:S35,"&gt;=50")-COUNTIF(S11:S35,"&gt;=52"))+(COUNTIF(AG11:AG35,"&gt;=50")-COUNTIF(AG11:AG35,"&gt;=52"))</f>
        <v>0</v>
      </c>
      <c r="AU31" s="144">
        <f>SUMPRODUCT(($E$11:$E$35&gt;=50)*($E$11:$E$35&lt;52)*($C$11:$C$35="×"))+SUMPRODUCT(($S$11:$S$35&gt;=50)*($S$11:$S$35&lt;52)*($Q$11:$Q$35="×"))+SUMPRODUCT(($AG$11:$AG$35&gt;=50)*($AG$11:$AG$35&lt;52)*($AE$11:$AE$35="×"))</f>
        <v>0</v>
      </c>
      <c r="AV31" s="144">
        <f t="shared" si="17"/>
        <v>0</v>
      </c>
      <c r="AW31" s="143"/>
      <c r="AX31" s="145"/>
      <c r="AY31" s="146"/>
      <c r="AZ31" s="147"/>
      <c r="BA31" s="148"/>
      <c r="BB31" s="39"/>
      <c r="BC31" s="39"/>
      <c r="BD31" s="39"/>
      <c r="BE31" s="39"/>
      <c r="BF31" s="39"/>
      <c r="BG31" s="39"/>
      <c r="BH31" s="39"/>
      <c r="BI31" s="39"/>
      <c r="BJ31" s="39"/>
      <c r="BK31" s="39"/>
      <c r="BL31" s="39"/>
      <c r="BM31" s="169" t="s">
        <v>100</v>
      </c>
      <c r="BN31" s="208">
        <v>100</v>
      </c>
      <c r="BO31" s="210">
        <v>80</v>
      </c>
      <c r="BP31" s="39"/>
      <c r="BQ31" s="39"/>
      <c r="BR31" s="211"/>
      <c r="BS31" s="39"/>
      <c r="BT31" s="39"/>
      <c r="BU31" s="39"/>
      <c r="BV31" s="39"/>
      <c r="BW31" s="39"/>
      <c r="BX31" s="39"/>
      <c r="BY31" s="39"/>
      <c r="BZ31" s="39"/>
      <c r="CA31" s="39"/>
      <c r="CB31" s="39"/>
      <c r="CC31" s="39"/>
      <c r="CD31" s="39"/>
      <c r="CE31" s="39"/>
    </row>
    <row r="32" spans="1:83" ht="18">
      <c r="A32" s="39"/>
      <c r="B32" s="99">
        <v>22</v>
      </c>
      <c r="C32" s="730"/>
      <c r="D32" s="731"/>
      <c r="E32" s="729"/>
      <c r="F32" s="729"/>
      <c r="G32" s="729"/>
      <c r="H32" s="139">
        <f t="shared" si="12"/>
      </c>
      <c r="I32" s="140">
        <f t="shared" si="13"/>
        <v>0</v>
      </c>
      <c r="J32" s="214"/>
      <c r="K32" s="49"/>
      <c r="L32" s="50">
        <f t="shared" si="3"/>
      </c>
      <c r="M32" s="51" t="str">
        <f t="shared" si="4"/>
        <v>　</v>
      </c>
      <c r="N32" s="51" t="str">
        <f t="shared" si="5"/>
        <v>　</v>
      </c>
      <c r="O32" s="39"/>
      <c r="P32" s="99">
        <v>22</v>
      </c>
      <c r="Q32" s="730"/>
      <c r="R32" s="731"/>
      <c r="S32" s="729"/>
      <c r="T32" s="729"/>
      <c r="U32" s="729"/>
      <c r="V32" s="139">
        <f t="shared" si="14"/>
      </c>
      <c r="W32" s="140">
        <f t="shared" si="15"/>
        <v>0</v>
      </c>
      <c r="X32" s="142"/>
      <c r="Y32" s="49"/>
      <c r="Z32" s="50">
        <f t="shared" si="6"/>
      </c>
      <c r="AA32" s="51" t="str">
        <f t="shared" si="7"/>
        <v>　</v>
      </c>
      <c r="AB32" s="51" t="str">
        <f t="shared" si="8"/>
        <v>　</v>
      </c>
      <c r="AC32" s="39"/>
      <c r="AD32" s="99">
        <v>22</v>
      </c>
      <c r="AE32" s="732"/>
      <c r="AF32" s="733"/>
      <c r="AG32" s="734"/>
      <c r="AH32" s="734"/>
      <c r="AI32" s="734"/>
      <c r="AJ32" s="139">
        <f t="shared" si="16"/>
      </c>
      <c r="AK32" s="140">
        <f t="shared" si="18"/>
        <v>0</v>
      </c>
      <c r="AL32" s="142"/>
      <c r="AM32" s="49"/>
      <c r="AN32" s="50">
        <f t="shared" si="9"/>
      </c>
      <c r="AO32" s="51" t="str">
        <f t="shared" si="10"/>
        <v>　</v>
      </c>
      <c r="AP32" s="51" t="str">
        <f t="shared" si="11"/>
        <v>　</v>
      </c>
      <c r="AQ32" s="39"/>
      <c r="AR32" s="99"/>
      <c r="AS32" s="143" t="s">
        <v>46</v>
      </c>
      <c r="AT32" s="144">
        <f>COUNTIF(E11:E35,"&gt;=52")+COUNTIF(S11:S35,"&gt;=52")+COUNTIF(AG11:AG35,"&gt;=52")</f>
        <v>1</v>
      </c>
      <c r="AU32" s="144">
        <f>SUMPRODUCT(($E$11:$E$35&gt;52)*($C$11:$C$35="×"))+SUMPRODUCT(($S$11:$S$35&gt;52)*($Q$11:$Q$35="×"))+SUMPRODUCT(($AG$11:$AG$35&gt;52)*($AE$11:$AE$35="×"))</f>
        <v>0</v>
      </c>
      <c r="AV32" s="144">
        <f t="shared" si="17"/>
        <v>1</v>
      </c>
      <c r="AW32" s="143"/>
      <c r="AX32" s="145"/>
      <c r="AY32" s="146"/>
      <c r="AZ32" s="147"/>
      <c r="BA32" s="148"/>
      <c r="BB32" s="39"/>
      <c r="BC32" s="39"/>
      <c r="BD32" s="39"/>
      <c r="BE32" s="39"/>
      <c r="BF32" s="39"/>
      <c r="BG32" s="39"/>
      <c r="BH32" s="39"/>
      <c r="BI32" s="39"/>
      <c r="BJ32" s="39"/>
      <c r="BK32" s="39"/>
      <c r="BL32" s="39"/>
      <c r="BM32" s="215" t="s">
        <v>102</v>
      </c>
      <c r="BN32" s="208">
        <v>90</v>
      </c>
      <c r="BO32" s="210">
        <v>70</v>
      </c>
      <c r="BP32" s="39"/>
      <c r="BQ32" s="39"/>
      <c r="BR32" s="211"/>
      <c r="BS32" s="39"/>
      <c r="BT32" s="39"/>
      <c r="BU32" s="39"/>
      <c r="BV32" s="39"/>
      <c r="BW32" s="39"/>
      <c r="BX32" s="39"/>
      <c r="BY32" s="39"/>
      <c r="BZ32" s="39"/>
      <c r="CA32" s="39"/>
      <c r="CB32" s="39"/>
      <c r="CC32" s="39"/>
      <c r="CD32" s="39"/>
      <c r="CE32" s="39"/>
    </row>
    <row r="33" spans="1:83" ht="18">
      <c r="A33" s="39"/>
      <c r="B33" s="99">
        <v>23</v>
      </c>
      <c r="C33" s="730"/>
      <c r="D33" s="731"/>
      <c r="E33" s="729"/>
      <c r="F33" s="729"/>
      <c r="G33" s="729"/>
      <c r="H33" s="139">
        <f t="shared" si="12"/>
      </c>
      <c r="I33" s="140">
        <f t="shared" si="13"/>
        <v>0</v>
      </c>
      <c r="J33" s="142"/>
      <c r="K33" s="49"/>
      <c r="L33" s="50">
        <f t="shared" si="3"/>
      </c>
      <c r="M33" s="51" t="str">
        <f t="shared" si="4"/>
        <v>　</v>
      </c>
      <c r="N33" s="51" t="str">
        <f t="shared" si="5"/>
        <v>　</v>
      </c>
      <c r="O33" s="39"/>
      <c r="P33" s="99">
        <v>23</v>
      </c>
      <c r="Q33" s="730"/>
      <c r="R33" s="731"/>
      <c r="S33" s="729"/>
      <c r="T33" s="729"/>
      <c r="U33" s="729"/>
      <c r="V33" s="139">
        <f t="shared" si="14"/>
      </c>
      <c r="W33" s="140">
        <f t="shared" si="15"/>
        <v>0</v>
      </c>
      <c r="X33" s="142"/>
      <c r="Y33" s="49"/>
      <c r="Z33" s="50">
        <f t="shared" si="6"/>
      </c>
      <c r="AA33" s="51" t="str">
        <f t="shared" si="7"/>
        <v>　</v>
      </c>
      <c r="AB33" s="51" t="str">
        <f t="shared" si="8"/>
        <v>　</v>
      </c>
      <c r="AC33" s="39"/>
      <c r="AD33" s="99">
        <v>23</v>
      </c>
      <c r="AE33" s="732"/>
      <c r="AF33" s="733"/>
      <c r="AG33" s="734"/>
      <c r="AH33" s="734"/>
      <c r="AI33" s="734"/>
      <c r="AJ33" s="139">
        <f t="shared" si="16"/>
      </c>
      <c r="AK33" s="140">
        <f t="shared" si="18"/>
        <v>0</v>
      </c>
      <c r="AL33" s="142"/>
      <c r="AM33" s="49"/>
      <c r="AN33" s="50">
        <f t="shared" si="9"/>
      </c>
      <c r="AO33" s="51" t="str">
        <f t="shared" si="10"/>
        <v>　</v>
      </c>
      <c r="AP33" s="51" t="str">
        <f t="shared" si="11"/>
        <v>　</v>
      </c>
      <c r="AQ33" s="39"/>
      <c r="AR33" s="99"/>
      <c r="AS33" s="143"/>
      <c r="AT33" s="144"/>
      <c r="AU33" s="144"/>
      <c r="AV33" s="144"/>
      <c r="AW33" s="143"/>
      <c r="AX33" s="145"/>
      <c r="AY33" s="146"/>
      <c r="AZ33" s="147"/>
      <c r="BA33" s="148"/>
      <c r="BB33" s="39"/>
      <c r="BC33" s="39"/>
      <c r="BD33" s="39"/>
      <c r="BE33" s="39"/>
      <c r="BF33" s="39"/>
      <c r="BG33" s="39"/>
      <c r="BH33" s="39"/>
      <c r="BI33" s="39"/>
      <c r="BJ33" s="39"/>
      <c r="BK33" s="39"/>
      <c r="BL33" s="39"/>
      <c r="BM33" s="169" t="s">
        <v>200</v>
      </c>
      <c r="BN33" s="208">
        <v>80</v>
      </c>
      <c r="BO33" s="210">
        <v>60</v>
      </c>
      <c r="BP33" s="39"/>
      <c r="BQ33" s="39"/>
      <c r="BR33" s="211"/>
      <c r="BS33" s="39"/>
      <c r="BT33" s="39"/>
      <c r="BU33" s="39"/>
      <c r="BV33" s="39"/>
      <c r="BW33" s="39"/>
      <c r="BX33" s="39"/>
      <c r="BY33" s="39"/>
      <c r="BZ33" s="39"/>
      <c r="CA33" s="39"/>
      <c r="CB33" s="39"/>
      <c r="CC33" s="39"/>
      <c r="CD33" s="39"/>
      <c r="CE33" s="39"/>
    </row>
    <row r="34" spans="1:83" ht="18">
      <c r="A34" s="39"/>
      <c r="B34" s="99">
        <v>24</v>
      </c>
      <c r="C34" s="730"/>
      <c r="D34" s="731"/>
      <c r="E34" s="729"/>
      <c r="F34" s="729"/>
      <c r="G34" s="729"/>
      <c r="H34" s="139">
        <f t="shared" si="12"/>
      </c>
      <c r="I34" s="140">
        <f t="shared" si="13"/>
        <v>0</v>
      </c>
      <c r="J34" s="142"/>
      <c r="K34" s="49"/>
      <c r="L34" s="50">
        <f t="shared" si="3"/>
      </c>
      <c r="M34" s="51" t="str">
        <f t="shared" si="4"/>
        <v>　</v>
      </c>
      <c r="N34" s="51" t="str">
        <f t="shared" si="5"/>
        <v>　</v>
      </c>
      <c r="O34" s="39"/>
      <c r="P34" s="99">
        <v>24</v>
      </c>
      <c r="Q34" s="730"/>
      <c r="R34" s="731"/>
      <c r="S34" s="729"/>
      <c r="T34" s="729"/>
      <c r="U34" s="729"/>
      <c r="V34" s="139">
        <f t="shared" si="14"/>
      </c>
      <c r="W34" s="140">
        <f t="shared" si="15"/>
        <v>0</v>
      </c>
      <c r="X34" s="142"/>
      <c r="Y34" s="49"/>
      <c r="Z34" s="50">
        <f t="shared" si="6"/>
      </c>
      <c r="AA34" s="51" t="str">
        <f t="shared" si="7"/>
        <v>　</v>
      </c>
      <c r="AB34" s="51" t="str">
        <f t="shared" si="8"/>
        <v>　</v>
      </c>
      <c r="AC34" s="39"/>
      <c r="AD34" s="99">
        <v>24</v>
      </c>
      <c r="AE34" s="732"/>
      <c r="AF34" s="733"/>
      <c r="AG34" s="734"/>
      <c r="AH34" s="734"/>
      <c r="AI34" s="734"/>
      <c r="AJ34" s="139">
        <f t="shared" si="16"/>
      </c>
      <c r="AK34" s="140">
        <f t="shared" si="18"/>
        <v>0</v>
      </c>
      <c r="AL34" s="142"/>
      <c r="AM34" s="49"/>
      <c r="AN34" s="50">
        <f t="shared" si="9"/>
      </c>
      <c r="AO34" s="51" t="str">
        <f t="shared" si="10"/>
        <v>　</v>
      </c>
      <c r="AP34" s="51" t="str">
        <f t="shared" si="11"/>
        <v>　</v>
      </c>
      <c r="AQ34" s="39"/>
      <c r="AR34" s="99"/>
      <c r="AS34" s="143"/>
      <c r="AT34" s="144"/>
      <c r="AU34" s="144"/>
      <c r="AV34" s="144"/>
      <c r="AW34" s="143"/>
      <c r="AX34" s="145"/>
      <c r="AY34" s="146"/>
      <c r="AZ34" s="147"/>
      <c r="BA34" s="148"/>
      <c r="BB34" s="39"/>
      <c r="BC34" s="39"/>
      <c r="BD34" s="39"/>
      <c r="BE34" s="39"/>
      <c r="BF34" s="39"/>
      <c r="BG34" s="39"/>
      <c r="BH34" s="39"/>
      <c r="BI34" s="39"/>
      <c r="BJ34" s="39"/>
      <c r="BK34" s="39"/>
      <c r="BL34" s="39"/>
      <c r="BM34" s="169" t="s">
        <v>138</v>
      </c>
      <c r="BN34" s="208">
        <v>70</v>
      </c>
      <c r="BO34" s="210">
        <v>50</v>
      </c>
      <c r="BP34" s="39"/>
      <c r="BQ34" s="39"/>
      <c r="BR34" s="211"/>
      <c r="BS34" s="39"/>
      <c r="BT34" s="39"/>
      <c r="BU34" s="39"/>
      <c r="BV34" s="39"/>
      <c r="BW34" s="39"/>
      <c r="BX34" s="39"/>
      <c r="BY34" s="39"/>
      <c r="BZ34" s="39"/>
      <c r="CA34" s="39"/>
      <c r="CB34" s="39"/>
      <c r="CC34" s="39"/>
      <c r="CD34" s="39"/>
      <c r="CE34" s="39"/>
    </row>
    <row r="35" spans="1:83" ht="18" customHeight="1">
      <c r="A35" s="39"/>
      <c r="B35" s="99">
        <v>25</v>
      </c>
      <c r="C35" s="730"/>
      <c r="D35" s="731"/>
      <c r="E35" s="729"/>
      <c r="F35" s="729"/>
      <c r="G35" s="729"/>
      <c r="H35" s="139">
        <f t="shared" si="12"/>
      </c>
      <c r="I35" s="140">
        <f t="shared" si="13"/>
        <v>0</v>
      </c>
      <c r="J35" s="142"/>
      <c r="K35" s="49"/>
      <c r="L35" s="50">
        <f t="shared" si="3"/>
      </c>
      <c r="M35" s="51" t="str">
        <f t="shared" si="4"/>
        <v>　</v>
      </c>
      <c r="N35" s="51" t="str">
        <f t="shared" si="5"/>
        <v>　</v>
      </c>
      <c r="O35" s="39"/>
      <c r="P35" s="99">
        <v>25</v>
      </c>
      <c r="Q35" s="730"/>
      <c r="R35" s="731"/>
      <c r="S35" s="729"/>
      <c r="T35" s="729"/>
      <c r="U35" s="729"/>
      <c r="V35" s="139">
        <f t="shared" si="14"/>
      </c>
      <c r="W35" s="140">
        <f t="shared" si="15"/>
        <v>0</v>
      </c>
      <c r="X35" s="142"/>
      <c r="Y35" s="49"/>
      <c r="Z35" s="50">
        <f t="shared" si="6"/>
      </c>
      <c r="AA35" s="51" t="str">
        <f t="shared" si="7"/>
        <v>　</v>
      </c>
      <c r="AB35" s="51" t="str">
        <f t="shared" si="8"/>
        <v>　</v>
      </c>
      <c r="AC35" s="39"/>
      <c r="AD35" s="99">
        <v>25</v>
      </c>
      <c r="AE35" s="732"/>
      <c r="AF35" s="733"/>
      <c r="AG35" s="734"/>
      <c r="AH35" s="734"/>
      <c r="AI35" s="734"/>
      <c r="AJ35" s="139">
        <f t="shared" si="16"/>
      </c>
      <c r="AK35" s="140">
        <f t="shared" si="18"/>
        <v>0</v>
      </c>
      <c r="AL35" s="142"/>
      <c r="AM35" s="49"/>
      <c r="AN35" s="50">
        <f t="shared" si="9"/>
      </c>
      <c r="AO35" s="51" t="str">
        <f t="shared" si="10"/>
        <v>　</v>
      </c>
      <c r="AP35" s="51" t="str">
        <f t="shared" si="11"/>
        <v>　</v>
      </c>
      <c r="AQ35" s="39"/>
      <c r="AR35" s="99"/>
      <c r="AS35" s="216" t="s">
        <v>67</v>
      </c>
      <c r="AT35" s="99" t="s">
        <v>2</v>
      </c>
      <c r="AU35" s="99" t="s">
        <v>12</v>
      </c>
      <c r="AV35" s="99" t="s">
        <v>18</v>
      </c>
      <c r="AW35" s="99" t="s">
        <v>34</v>
      </c>
      <c r="AX35" s="99" t="s">
        <v>7</v>
      </c>
      <c r="AY35" s="217" t="s">
        <v>4</v>
      </c>
      <c r="AZ35" s="218" t="s">
        <v>72</v>
      </c>
      <c r="BA35" s="219" t="s">
        <v>80</v>
      </c>
      <c r="BB35" s="39"/>
      <c r="BC35" s="39"/>
      <c r="BD35" s="39"/>
      <c r="BE35" s="39"/>
      <c r="BF35" s="39"/>
      <c r="BG35" s="39"/>
      <c r="BH35" s="39"/>
      <c r="BI35" s="39"/>
      <c r="BJ35" s="39"/>
      <c r="BK35" s="39"/>
      <c r="BL35" s="39"/>
      <c r="BM35" s="169" t="s">
        <v>152</v>
      </c>
      <c r="BN35" s="208">
        <v>60</v>
      </c>
      <c r="BO35" s="210">
        <v>40</v>
      </c>
      <c r="BP35" s="39"/>
      <c r="BQ35" s="39"/>
      <c r="BR35" s="211"/>
      <c r="BS35" s="39"/>
      <c r="BT35" s="39"/>
      <c r="BU35" s="39"/>
      <c r="BV35" s="39"/>
      <c r="BW35" s="39"/>
      <c r="BX35" s="39"/>
      <c r="BY35" s="39"/>
      <c r="BZ35" s="39"/>
      <c r="CA35" s="39"/>
      <c r="CB35" s="39"/>
      <c r="CC35" s="39"/>
      <c r="CD35" s="39"/>
      <c r="CE35" s="39"/>
    </row>
    <row r="36" spans="1:83" ht="18" customHeight="1">
      <c r="A36" s="39"/>
      <c r="B36" s="126" t="s">
        <v>3</v>
      </c>
      <c r="C36" s="220">
        <f>COUNTA(C11:C35)</f>
        <v>8</v>
      </c>
      <c r="D36" s="221">
        <f>COUNTA(E11:E35)</f>
        <v>16</v>
      </c>
      <c r="E36" s="222">
        <f>SUM(E11:E35)</f>
        <v>518.3</v>
      </c>
      <c r="F36" s="222">
        <f>SUM(F11:F35)</f>
        <v>93.3</v>
      </c>
      <c r="G36" s="222">
        <f>SUM(G11:G35)</f>
        <v>59.300000000000004</v>
      </c>
      <c r="H36" s="223">
        <f>SUM(H11:H35)</f>
        <v>14.869484826922417</v>
      </c>
      <c r="I36" s="224">
        <f>SUM(I11:I35)</f>
        <v>1.4655800849999998</v>
      </c>
      <c r="J36" s="225"/>
      <c r="K36" s="52">
        <f>SUM(K11:K35)</f>
        <v>0</v>
      </c>
      <c r="L36" s="53" t="s">
        <v>45</v>
      </c>
      <c r="M36" s="54"/>
      <c r="N36" s="54"/>
      <c r="O36" s="39"/>
      <c r="P36" s="126" t="s">
        <v>3</v>
      </c>
      <c r="Q36" s="220">
        <f>COUNTA(Q11:Q35)</f>
        <v>9</v>
      </c>
      <c r="R36" s="221">
        <f>COUNTA(S11:S35)</f>
        <v>18</v>
      </c>
      <c r="S36" s="222">
        <f>SUM(S11:S35)</f>
        <v>565.7</v>
      </c>
      <c r="T36" s="222">
        <f>SUM(T11:T35)</f>
        <v>66.6</v>
      </c>
      <c r="U36" s="222">
        <f>SUM(U11:U35)</f>
        <v>46.900000000000006</v>
      </c>
      <c r="V36" s="223">
        <f>SUM(V11:V35)</f>
        <v>14.227733433246613</v>
      </c>
      <c r="W36" s="224">
        <f>SUM(W11:W35)</f>
        <v>1.4639708350000002</v>
      </c>
      <c r="X36" s="225"/>
      <c r="Y36" s="52">
        <f>SUM(Y11:Y35)</f>
        <v>0</v>
      </c>
      <c r="Z36" s="53" t="s">
        <v>45</v>
      </c>
      <c r="AA36" s="54"/>
      <c r="AB36" s="54"/>
      <c r="AC36" s="39"/>
      <c r="AD36" s="126" t="s">
        <v>3</v>
      </c>
      <c r="AE36" s="220">
        <f>COUNTA(AE11:AE35)</f>
        <v>0</v>
      </c>
      <c r="AF36" s="221">
        <f>COUNTA(AG11:AG35)</f>
        <v>0</v>
      </c>
      <c r="AG36" s="222">
        <f>SUM(AG11:AG35)</f>
        <v>0</v>
      </c>
      <c r="AH36" s="222">
        <f>SUM(AH11:AH35)</f>
        <v>0</v>
      </c>
      <c r="AI36" s="222">
        <f>SUM(AI11:AI35)</f>
        <v>0</v>
      </c>
      <c r="AJ36" s="223">
        <f>SUM(AJ11:AJ35)</f>
        <v>0</v>
      </c>
      <c r="AK36" s="224">
        <f>SUM(AK11:AK35)</f>
        <v>0</v>
      </c>
      <c r="AL36" s="225"/>
      <c r="AM36" s="52">
        <f>SUM(AM11:AM35)</f>
        <v>0</v>
      </c>
      <c r="AN36" s="53" t="s">
        <v>45</v>
      </c>
      <c r="AO36" s="54"/>
      <c r="AP36" s="54"/>
      <c r="AQ36" s="39"/>
      <c r="AR36" s="99" t="s">
        <v>79</v>
      </c>
      <c r="AS36" s="226">
        <f>D36+R36+AF36</f>
        <v>34</v>
      </c>
      <c r="AT36" s="227">
        <f>E36+S36+AG36</f>
        <v>1084</v>
      </c>
      <c r="AU36" s="228">
        <f>F36+T36+AH36</f>
        <v>159.89999999999998</v>
      </c>
      <c r="AV36" s="228">
        <f>G36+U36+AI36</f>
        <v>106.20000000000002</v>
      </c>
      <c r="AW36" s="228">
        <f>K36+Y36+AM36</f>
        <v>0</v>
      </c>
      <c r="AX36" s="229">
        <f>H36+V36+AJ36</f>
        <v>29.09721826016903</v>
      </c>
      <c r="AY36" s="230">
        <f>I36+W36+AK36</f>
        <v>2.92955092</v>
      </c>
      <c r="AZ36" s="226">
        <f>L37+Z37+AN37</f>
        <v>7</v>
      </c>
      <c r="BA36" s="226">
        <f>C36+Q36+AE36</f>
        <v>17</v>
      </c>
      <c r="BB36" s="39"/>
      <c r="BC36" s="39"/>
      <c r="BD36" s="39"/>
      <c r="BE36" s="39"/>
      <c r="BF36" s="39"/>
      <c r="BG36" s="39"/>
      <c r="BH36" s="39"/>
      <c r="BI36" s="39"/>
      <c r="BJ36" s="39"/>
      <c r="BK36" s="39"/>
      <c r="BL36" s="39"/>
      <c r="BM36" s="895" t="s">
        <v>179</v>
      </c>
      <c r="BN36" s="896"/>
      <c r="BO36" s="896"/>
      <c r="BP36" s="39"/>
      <c r="BQ36" s="39"/>
      <c r="BR36" s="231"/>
      <c r="BS36" s="39"/>
      <c r="BT36" s="39"/>
      <c r="BU36" s="39"/>
      <c r="BV36" s="39"/>
      <c r="BW36" s="39"/>
      <c r="BX36" s="39"/>
      <c r="BY36" s="39"/>
      <c r="BZ36" s="39"/>
      <c r="CA36" s="39"/>
      <c r="CB36" s="39"/>
      <c r="CC36" s="39"/>
      <c r="CD36" s="39"/>
      <c r="CE36" s="39"/>
    </row>
    <row r="37" spans="1:83" ht="18" customHeight="1">
      <c r="A37" s="39"/>
      <c r="B37" s="99" t="s">
        <v>24</v>
      </c>
      <c r="C37" s="232" t="s">
        <v>23</v>
      </c>
      <c r="D37" s="232" t="s">
        <v>23</v>
      </c>
      <c r="E37" s="233">
        <f>IF(ISERROR(E36/D36),0,E36/D36)</f>
        <v>32.39375</v>
      </c>
      <c r="F37" s="234">
        <f>IF(ISERROR(F36/L37),0,F36/L37)</f>
        <v>23.325</v>
      </c>
      <c r="G37" s="234">
        <f>IF(ISERROR(G36/L37),0,G36/L37)</f>
        <v>14.825000000000001</v>
      </c>
      <c r="H37" s="235">
        <f>IF(ISERROR(H36/D36),0,H36/D36)</f>
        <v>0.929342801682651</v>
      </c>
      <c r="I37" s="236">
        <f>IF(ISERROR(I36/D36),0,I36/D36)</f>
        <v>0.09159875531249999</v>
      </c>
      <c r="J37" s="237"/>
      <c r="K37" s="55">
        <f>IF(ISERROR(K36/L37),0,K36/L37)</f>
        <v>0</v>
      </c>
      <c r="L37" s="56">
        <f>COUNTA(F11:F35)</f>
        <v>4</v>
      </c>
      <c r="M37" s="57"/>
      <c r="N37" s="57"/>
      <c r="O37" s="39"/>
      <c r="P37" s="99" t="s">
        <v>24</v>
      </c>
      <c r="Q37" s="232" t="s">
        <v>23</v>
      </c>
      <c r="R37" s="232" t="s">
        <v>23</v>
      </c>
      <c r="S37" s="233">
        <f>IF(ISERROR(S36/R36),0,S36/R36)</f>
        <v>31.42777777777778</v>
      </c>
      <c r="T37" s="234">
        <f>IF(ISERROR(T36/Z37),0,T36/Z37)</f>
        <v>22.2</v>
      </c>
      <c r="U37" s="234">
        <f>IF(ISERROR(U36/Z37),0,U36/Z37)</f>
        <v>15.633333333333335</v>
      </c>
      <c r="V37" s="235">
        <f>IF(ISERROR(V36/R36),0,V36/R36)</f>
        <v>0.7904296351803674</v>
      </c>
      <c r="W37" s="236">
        <f>IF(ISERROR(W36/R36),0,W36/R36)</f>
        <v>0.08133171305555557</v>
      </c>
      <c r="X37" s="237"/>
      <c r="Y37" s="55">
        <f>IF(ISERROR(Y36/Z37),0,Y36/Z37)</f>
        <v>0</v>
      </c>
      <c r="Z37" s="56">
        <f>COUNTA(T11:T35)</f>
        <v>3</v>
      </c>
      <c r="AA37" s="57"/>
      <c r="AB37" s="57"/>
      <c r="AC37" s="39"/>
      <c r="AD37" s="99" t="s">
        <v>24</v>
      </c>
      <c r="AE37" s="232" t="s">
        <v>23</v>
      </c>
      <c r="AF37" s="232" t="s">
        <v>23</v>
      </c>
      <c r="AG37" s="233">
        <f>IF(ISERROR(AG36/AF36),0,AG36/AF36)</f>
        <v>0</v>
      </c>
      <c r="AH37" s="234">
        <f>IF(ISERROR(AH36/AN37),0,AH36/AN37)</f>
        <v>0</v>
      </c>
      <c r="AI37" s="234">
        <f>IF(ISERROR(AI36/AN37),0,AI36/AN37)</f>
        <v>0</v>
      </c>
      <c r="AJ37" s="235">
        <f>IF(ISERROR(AJ36/AF36),0,AJ36/AF36)</f>
        <v>0</v>
      </c>
      <c r="AK37" s="236">
        <f>IF(ISERROR(AK36/AF36),0,AK36/AF36)</f>
        <v>0</v>
      </c>
      <c r="AL37" s="237"/>
      <c r="AM37" s="55">
        <f>IF(ISERROR(AM36/AN37),0,AM36/AN37)</f>
        <v>0</v>
      </c>
      <c r="AN37" s="56">
        <f>COUNTA(AH11:AH35)</f>
        <v>0</v>
      </c>
      <c r="AO37" s="57"/>
      <c r="AP37" s="57"/>
      <c r="AQ37" s="39"/>
      <c r="AR37" s="99" t="s">
        <v>95</v>
      </c>
      <c r="AS37" s="238" t="s">
        <v>23</v>
      </c>
      <c r="AT37" s="239">
        <f>IF(ISERROR(AT36/AS36),0,AT36/AS36)</f>
        <v>31.88235294117647</v>
      </c>
      <c r="AU37" s="240">
        <f>IF(ISERROR(AU36/AZ36),0,AU36/AZ36)</f>
        <v>22.842857142857138</v>
      </c>
      <c r="AV37" s="240">
        <f>IF(ISERROR(AV36/AZ36),0,AV36/AZ36)</f>
        <v>15.171428571428574</v>
      </c>
      <c r="AW37" s="240">
        <f>IF(ISERROR(AW36/AZ36),0,AW36/AZ36)</f>
        <v>0</v>
      </c>
      <c r="AX37" s="241">
        <f>IF(ISERROR(AX36/AS36),0,AX36/AS36)</f>
        <v>0.855800537063795</v>
      </c>
      <c r="AY37" s="242">
        <f>IF(ISERROR(AY36/AS36),0,AY36/AS36)</f>
        <v>0.08616326235294118</v>
      </c>
      <c r="AZ37" s="238" t="s">
        <v>23</v>
      </c>
      <c r="BA37" s="238" t="s">
        <v>23</v>
      </c>
      <c r="BB37" s="39"/>
      <c r="BC37" s="243"/>
      <c r="BD37" s="243"/>
      <c r="BE37" s="244" t="s">
        <v>169</v>
      </c>
      <c r="BF37" s="737">
        <v>0.3</v>
      </c>
      <c r="BG37" s="39"/>
      <c r="BH37" s="39"/>
      <c r="BI37" s="39"/>
      <c r="BJ37" s="39"/>
      <c r="BK37" s="39"/>
      <c r="BL37" s="39"/>
      <c r="BM37" s="897"/>
      <c r="BN37" s="897"/>
      <c r="BO37" s="897"/>
      <c r="BP37" s="202"/>
      <c r="BQ37" s="39"/>
      <c r="BR37" s="39"/>
      <c r="BS37" s="39"/>
      <c r="BT37" s="39"/>
      <c r="BU37" s="39"/>
      <c r="BV37" s="39"/>
      <c r="BW37" s="39"/>
      <c r="BX37" s="39"/>
      <c r="BY37" s="39"/>
      <c r="BZ37" s="39"/>
      <c r="CA37" s="39"/>
      <c r="CB37" s="39"/>
      <c r="CC37" s="39"/>
      <c r="CD37" s="39"/>
      <c r="CE37" s="39"/>
    </row>
    <row r="38" spans="1:83" ht="15">
      <c r="A38" s="39"/>
      <c r="B38" s="246"/>
      <c r="C38" s="247"/>
      <c r="D38" s="248"/>
      <c r="E38" s="248"/>
      <c r="F38" s="120"/>
      <c r="G38" s="248"/>
      <c r="H38" s="249"/>
      <c r="I38" s="247"/>
      <c r="J38" s="250"/>
      <c r="K38" s="58"/>
      <c r="L38" s="59"/>
      <c r="M38" s="54"/>
      <c r="N38" s="54"/>
      <c r="O38" s="39"/>
      <c r="P38" s="246"/>
      <c r="Q38" s="247"/>
      <c r="R38" s="248"/>
      <c r="S38" s="248"/>
      <c r="T38" s="39"/>
      <c r="U38" s="248"/>
      <c r="V38" s="249"/>
      <c r="W38" s="247"/>
      <c r="X38" s="251"/>
      <c r="Y38" s="58"/>
      <c r="Z38" s="58"/>
      <c r="AA38" s="54"/>
      <c r="AB38" s="54"/>
      <c r="AC38" s="39"/>
      <c r="AD38" s="246"/>
      <c r="AE38" s="248"/>
      <c r="AF38" s="248"/>
      <c r="AG38" s="39"/>
      <c r="AH38" s="248"/>
      <c r="AI38" s="249"/>
      <c r="AJ38" s="247"/>
      <c r="AK38" s="247"/>
      <c r="AL38" s="251"/>
      <c r="AM38" s="58"/>
      <c r="AN38" s="58"/>
      <c r="AO38" s="54"/>
      <c r="AP38" s="54"/>
      <c r="AQ38" s="39"/>
      <c r="AR38" s="252"/>
      <c r="AS38" s="253"/>
      <c r="AT38" s="253"/>
      <c r="AU38" s="39"/>
      <c r="AV38" s="253"/>
      <c r="AW38" s="253"/>
      <c r="AX38" s="254"/>
      <c r="AY38" s="255"/>
      <c r="AZ38" s="253"/>
      <c r="BA38" s="255"/>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row>
    <row r="39" spans="1:83" ht="14.25" hidden="1">
      <c r="A39" s="43"/>
      <c r="B39" s="256" t="s">
        <v>32</v>
      </c>
      <c r="C39" s="257" t="s">
        <v>23</v>
      </c>
      <c r="D39" s="258">
        <f>COUNTIF(L11:L35,"○")</f>
        <v>8</v>
      </c>
      <c r="E39" s="259">
        <f>SUMIF(L11:L35,"○",E11:E35)</f>
        <v>325.79999999999995</v>
      </c>
      <c r="F39" s="60">
        <f>SUMIF(L11:L35,"○",F11:F35)</f>
        <v>49.3</v>
      </c>
      <c r="G39" s="60">
        <f>SUMIF(L11:L35,"○",G11:G35)</f>
        <v>29.700000000000003</v>
      </c>
      <c r="H39" s="260">
        <f>SUMIF(L11:L35,"○",H11:H35)</f>
        <v>10.62893557548523</v>
      </c>
      <c r="I39" s="261">
        <f>SUMIF(L11:L35,"○",I11:I35)</f>
        <v>1.07056416</v>
      </c>
      <c r="J39" s="257" t="s">
        <v>23</v>
      </c>
      <c r="K39" s="60">
        <f>SUMIF(L11:L35,"○",K11:K35)</f>
        <v>0</v>
      </c>
      <c r="L39" s="61">
        <f>COUNTIF(M11:M35,"○有")</f>
        <v>2</v>
      </c>
      <c r="M39" s="62"/>
      <c r="N39" s="62"/>
      <c r="O39" s="43"/>
      <c r="P39" s="256" t="s">
        <v>32</v>
      </c>
      <c r="Q39" s="257" t="s">
        <v>23</v>
      </c>
      <c r="R39" s="258">
        <f>COUNTIF(Z11:Z35,"○")</f>
        <v>10</v>
      </c>
      <c r="S39" s="259">
        <f>SUMIF(Z11:Z35,"○",S11:S35)</f>
        <v>364.8</v>
      </c>
      <c r="T39" s="60">
        <f>SUMIF(Z11:Z35,"○",T11:T35)</f>
        <v>25.3</v>
      </c>
      <c r="U39" s="60">
        <f>SUMIF(Z11:Z35,"○",U11:U35)</f>
        <v>15.8</v>
      </c>
      <c r="V39" s="260">
        <f>SUMIF(Z11:Z35,"○",V11:V35)</f>
        <v>10.013416945934296</v>
      </c>
      <c r="W39" s="261">
        <f>SUMIF(Z11:Z35,"○",W11:W35)</f>
        <v>1.05395513</v>
      </c>
      <c r="X39" s="257" t="s">
        <v>23</v>
      </c>
      <c r="Y39" s="60">
        <f>SUMIF(Z11:Z35,"○",Y11:Y35)</f>
        <v>0</v>
      </c>
      <c r="Z39" s="262">
        <f>COUNTIF(AA11:AA35,"○有")</f>
        <v>1</v>
      </c>
      <c r="AA39" s="62"/>
      <c r="AB39" s="62"/>
      <c r="AC39" s="263"/>
      <c r="AD39" s="256" t="s">
        <v>32</v>
      </c>
      <c r="AE39" s="257" t="s">
        <v>23</v>
      </c>
      <c r="AF39" s="258">
        <f>COUNTIF(AN11:AN35,"○")</f>
        <v>0</v>
      </c>
      <c r="AG39" s="259">
        <f>SUMIF(AN11:AN35,"○",AG11:AG35)</f>
        <v>0</v>
      </c>
      <c r="AH39" s="60">
        <f>SUMIF(AN11:AN35,"○",AH11:AH35)</f>
        <v>0</v>
      </c>
      <c r="AI39" s="60">
        <f>SUMIF(AN11:AN35,"○",AI11:AI35)</f>
        <v>0</v>
      </c>
      <c r="AJ39" s="260">
        <f>SUMIF(AN11:AN35,"○",AJ11:AJ35)</f>
        <v>0</v>
      </c>
      <c r="AK39" s="261">
        <f>SUMIF(AN11:AN35,"○",AK11:AK35)</f>
        <v>0</v>
      </c>
      <c r="AL39" s="257" t="s">
        <v>23</v>
      </c>
      <c r="AM39" s="60">
        <f>SUMIF(AN11:AN35,"○",AM11:AM35)</f>
        <v>0</v>
      </c>
      <c r="AN39" s="262">
        <f>COUNTIF(AO11:AO35,"○有")</f>
        <v>0</v>
      </c>
      <c r="AO39" s="62"/>
      <c r="AP39" s="62"/>
      <c r="AQ39" s="263"/>
      <c r="AR39" s="264" t="s">
        <v>32</v>
      </c>
      <c r="AS39" s="265">
        <f>D39+R39+AF39</f>
        <v>18</v>
      </c>
      <c r="AT39" s="266">
        <f aca="true" t="shared" si="19" ref="AT39:AV41">E39+S39+AG39</f>
        <v>690.5999999999999</v>
      </c>
      <c r="AU39" s="267">
        <f t="shared" si="19"/>
        <v>74.6</v>
      </c>
      <c r="AV39" s="267">
        <f t="shared" si="19"/>
        <v>45.5</v>
      </c>
      <c r="AW39" s="267">
        <f>K39+Y39+AM39</f>
        <v>0</v>
      </c>
      <c r="AX39" s="268">
        <f aca="true" t="shared" si="20" ref="AX39:AY41">H39+V39+AJ39</f>
        <v>20.642352521419525</v>
      </c>
      <c r="AY39" s="269">
        <f t="shared" si="20"/>
        <v>2.1245192900000003</v>
      </c>
      <c r="AZ39" s="270">
        <f>L39+Z39+AN39</f>
        <v>3</v>
      </c>
      <c r="BA39" s="271" t="s">
        <v>23</v>
      </c>
      <c r="BB39" s="272"/>
      <c r="BC39" s="272"/>
      <c r="BD39" s="272"/>
      <c r="BE39" s="272"/>
      <c r="BF39" s="272"/>
      <c r="BG39" s="272"/>
      <c r="BH39" s="272"/>
      <c r="BI39" s="272"/>
      <c r="BJ39" s="272"/>
      <c r="BK39" s="272"/>
      <c r="BL39" s="272"/>
      <c r="BM39" s="272"/>
      <c r="BN39" s="272"/>
      <c r="BO39" s="272"/>
      <c r="BP39" s="272"/>
      <c r="BQ39" s="272"/>
      <c r="BR39" s="272"/>
      <c r="BS39" s="272"/>
      <c r="BT39" s="272"/>
      <c r="BU39" s="272"/>
      <c r="BV39" s="272"/>
      <c r="BW39" s="272"/>
      <c r="BX39" s="272"/>
      <c r="BY39" s="272"/>
      <c r="BZ39" s="272"/>
      <c r="CA39" s="272"/>
      <c r="CB39" s="272"/>
      <c r="CC39" s="272"/>
      <c r="CD39" s="272"/>
      <c r="CE39" s="272"/>
    </row>
    <row r="40" spans="1:83" ht="15" hidden="1" thickBot="1">
      <c r="A40" s="43"/>
      <c r="B40" s="273" t="s">
        <v>42</v>
      </c>
      <c r="C40" s="274" t="s">
        <v>23</v>
      </c>
      <c r="D40" s="275">
        <f>COUNTIF(L11:L35,"△")</f>
        <v>8</v>
      </c>
      <c r="E40" s="276">
        <f>SUMIF(L11:L35,"△",E11:E35)</f>
        <v>192.5</v>
      </c>
      <c r="F40" s="63">
        <f>SUMIF(L11:L35,"△",F11:F35)</f>
        <v>44</v>
      </c>
      <c r="G40" s="63">
        <f>SUMIF(L11:L35,"△",G11:G35)</f>
        <v>29.6</v>
      </c>
      <c r="H40" s="277">
        <f>SUMIF(L11:L35,"△",H11:H35)</f>
        <v>4.240549251437187</v>
      </c>
      <c r="I40" s="278">
        <f>SUMIF(L11:L35,"△",I11:I35)</f>
        <v>0.395015925</v>
      </c>
      <c r="J40" s="274" t="s">
        <v>23</v>
      </c>
      <c r="K40" s="63">
        <f>SUMIF(L11:L35,"△",K11:K35)</f>
        <v>0</v>
      </c>
      <c r="L40" s="61">
        <f>COUNTIF(M11:M35,"△有")</f>
        <v>2</v>
      </c>
      <c r="M40" s="64"/>
      <c r="N40" s="64"/>
      <c r="O40" s="279"/>
      <c r="P40" s="273" t="s">
        <v>42</v>
      </c>
      <c r="Q40" s="274" t="s">
        <v>23</v>
      </c>
      <c r="R40" s="275">
        <f>COUNTIF(Z11:Z35,"△")</f>
        <v>8</v>
      </c>
      <c r="S40" s="276">
        <f>SUMIF(Z11:Z35,"△",S11:S35)</f>
        <v>200.9</v>
      </c>
      <c r="T40" s="63">
        <f>SUMIF(Z11:Z35,"△",T11:T35)</f>
        <v>41.3</v>
      </c>
      <c r="U40" s="63">
        <f>SUMIF(Z11:Z35,"△",U11:U35)</f>
        <v>31.1</v>
      </c>
      <c r="V40" s="277">
        <f>SUMIF(Z11:Z35,"△",V11:V35)</f>
        <v>4.214316487312317</v>
      </c>
      <c r="W40" s="278">
        <f>SUMIF(Z11:Z35,"△",W11:W35)</f>
        <v>0.41001570500000006</v>
      </c>
      <c r="X40" s="274" t="s">
        <v>23</v>
      </c>
      <c r="Y40" s="63">
        <f>SUMIF(Z11:Z35,"△",Y11:Y35)</f>
        <v>0</v>
      </c>
      <c r="Z40" s="61">
        <f>COUNTIF(AA11:AA35,"△有")</f>
        <v>2</v>
      </c>
      <c r="AA40" s="64"/>
      <c r="AB40" s="64"/>
      <c r="AC40" s="279"/>
      <c r="AD40" s="273" t="s">
        <v>42</v>
      </c>
      <c r="AE40" s="274" t="s">
        <v>23</v>
      </c>
      <c r="AF40" s="275">
        <f>COUNTIF(AN11:AN35,"△")</f>
        <v>0</v>
      </c>
      <c r="AG40" s="276">
        <f>SUMIF(AN11:AN35,"△",AG11:AG35)</f>
        <v>0</v>
      </c>
      <c r="AH40" s="63">
        <f>SUMIF(AN11:AN35,"△",AH11:AH35)</f>
        <v>0</v>
      </c>
      <c r="AI40" s="63">
        <f>SUMIF(AN11:AN35,"△",AI11:AI35)</f>
        <v>0</v>
      </c>
      <c r="AJ40" s="277">
        <f>SUMIF(AN11:AN35,"△",AJ11:AJ35)</f>
        <v>0</v>
      </c>
      <c r="AK40" s="278">
        <f>SUMIF(AN11:AN35,"△",AK11:AK35)</f>
        <v>0</v>
      </c>
      <c r="AL40" s="274" t="s">
        <v>23</v>
      </c>
      <c r="AM40" s="63">
        <f>SUMIF(AN11:AN35,"△",AM11:AM35)</f>
        <v>0</v>
      </c>
      <c r="AN40" s="61">
        <f>COUNTIF(AO11:AO35,"△有")</f>
        <v>0</v>
      </c>
      <c r="AO40" s="64"/>
      <c r="AP40" s="64"/>
      <c r="AQ40" s="279"/>
      <c r="AR40" s="280" t="s">
        <v>42</v>
      </c>
      <c r="AS40" s="281">
        <f>D40+R40+AF40</f>
        <v>16</v>
      </c>
      <c r="AT40" s="282">
        <f t="shared" si="19"/>
        <v>393.4</v>
      </c>
      <c r="AU40" s="283">
        <f t="shared" si="19"/>
        <v>85.3</v>
      </c>
      <c r="AV40" s="283">
        <f t="shared" si="19"/>
        <v>60.7</v>
      </c>
      <c r="AW40" s="283">
        <f>K40+Y40+AM40</f>
        <v>0</v>
      </c>
      <c r="AX40" s="284">
        <f t="shared" si="20"/>
        <v>8.454865738749504</v>
      </c>
      <c r="AY40" s="285">
        <f t="shared" si="20"/>
        <v>0.80503163</v>
      </c>
      <c r="AZ40" s="286">
        <f>L40+Z40+AN40</f>
        <v>4</v>
      </c>
      <c r="BA40" s="287" t="s">
        <v>23</v>
      </c>
      <c r="BB40" s="288"/>
      <c r="BC40" s="272"/>
      <c r="BD40" s="272"/>
      <c r="BE40" s="272"/>
      <c r="BF40" s="272"/>
      <c r="BG40" s="272"/>
      <c r="BH40" s="272"/>
      <c r="BI40" s="272"/>
      <c r="BJ40" s="272"/>
      <c r="BK40" s="272"/>
      <c r="BL40" s="272"/>
      <c r="BM40" s="272"/>
      <c r="BN40" s="272"/>
      <c r="BO40" s="272"/>
      <c r="BP40" s="272"/>
      <c r="BQ40" s="272"/>
      <c r="BR40" s="272"/>
      <c r="BS40" s="272"/>
      <c r="BT40" s="272"/>
      <c r="BU40" s="272"/>
      <c r="BV40" s="272"/>
      <c r="BW40" s="272"/>
      <c r="BX40" s="272"/>
      <c r="BY40" s="272"/>
      <c r="BZ40" s="272"/>
      <c r="CA40" s="272"/>
      <c r="CB40" s="272"/>
      <c r="CC40" s="272"/>
      <c r="CD40" s="272"/>
      <c r="CE40" s="272"/>
    </row>
    <row r="41" spans="1:83" ht="14.25" hidden="1">
      <c r="A41" s="43"/>
      <c r="B41" s="289" t="s">
        <v>74</v>
      </c>
      <c r="C41" s="290" t="s">
        <v>23</v>
      </c>
      <c r="D41" s="291">
        <f>COUNTIF(C11:C35,"×")</f>
        <v>8</v>
      </c>
      <c r="E41" s="292">
        <f>SUMIF(C11:C35,"×",E11:E35)</f>
        <v>195.1</v>
      </c>
      <c r="F41" s="65">
        <f>SUMIF(C11:C35,"×",F11:F35)</f>
        <v>44</v>
      </c>
      <c r="G41" s="65">
        <f>SUMIF(C11:C35,"×",G11:G35)</f>
        <v>29.6</v>
      </c>
      <c r="H41" s="293">
        <f>SUMIF(C11:C35,"×",H11:H35)</f>
        <v>4.361974820494652</v>
      </c>
      <c r="I41" s="294">
        <f>SUMIF(C11:C35,"×",I11:I35)</f>
        <v>0.40799668499999997</v>
      </c>
      <c r="J41" s="290" t="s">
        <v>23</v>
      </c>
      <c r="K41" s="65">
        <f>SUMIF(C11:C35,"×",K11:K35)</f>
        <v>0</v>
      </c>
      <c r="L41" s="61">
        <f>COUNTIF(N11:N35,"×有")</f>
        <v>2</v>
      </c>
      <c r="M41" s="64"/>
      <c r="N41" s="64"/>
      <c r="O41" s="279"/>
      <c r="P41" s="289" t="s">
        <v>43</v>
      </c>
      <c r="Q41" s="290" t="s">
        <v>23</v>
      </c>
      <c r="R41" s="291">
        <f>COUNTIF(Q11:Q35,"×")</f>
        <v>9</v>
      </c>
      <c r="S41" s="292">
        <f>SUMIF(Q11:Q35,"×",S11:S35)</f>
        <v>242.6</v>
      </c>
      <c r="T41" s="65">
        <f>SUMIF(Q11:Q35,"×",T11:T35)</f>
        <v>20.2</v>
      </c>
      <c r="U41" s="65">
        <f>SUMIF(Q11:Q35,"×",U11:U35)</f>
        <v>15</v>
      </c>
      <c r="V41" s="293">
        <f>SUMIF(Q11:Q35,"×",V11:V35)</f>
        <v>5.440025687217712</v>
      </c>
      <c r="W41" s="294">
        <f>SUMIF(Q11:Q35,"×",W11:W35)</f>
        <v>0.5403955699999999</v>
      </c>
      <c r="X41" s="290" t="s">
        <v>23</v>
      </c>
      <c r="Y41" s="65">
        <f>SUMIF(Q11:Q35,"×",Y11:Y35)</f>
        <v>0</v>
      </c>
      <c r="Z41" s="295">
        <f>COUNTIF(AB11:AB35,"×有")</f>
        <v>1</v>
      </c>
      <c r="AA41" s="64"/>
      <c r="AB41" s="64"/>
      <c r="AC41" s="279"/>
      <c r="AD41" s="289" t="s">
        <v>43</v>
      </c>
      <c r="AE41" s="290" t="s">
        <v>23</v>
      </c>
      <c r="AF41" s="291">
        <f>COUNTIF(AE11:AE35,"×")</f>
        <v>0</v>
      </c>
      <c r="AG41" s="292">
        <f>SUMIF(AE11:AE35,"×",AG11:AG35)</f>
        <v>0</v>
      </c>
      <c r="AH41" s="65">
        <f>SUMIF(AE11:AE35,"×",AH11:AH35)</f>
        <v>0</v>
      </c>
      <c r="AI41" s="65">
        <f>SUMIF(AE11:AE35,"×",AI11:AI35)</f>
        <v>0</v>
      </c>
      <c r="AJ41" s="293">
        <f>SUMIF(AE11:AE35,"×",AJ11:AJ35)</f>
        <v>0</v>
      </c>
      <c r="AK41" s="294">
        <f>SUMIF(AE11:AE35,"×",AK11:AK35)</f>
        <v>0</v>
      </c>
      <c r="AL41" s="290" t="s">
        <v>23</v>
      </c>
      <c r="AM41" s="65">
        <f>SUMIF(AE11:AE35,"×",AM11:AM35)</f>
        <v>0</v>
      </c>
      <c r="AN41" s="295">
        <f>COUNTIF(AP11:AP35,"×有")</f>
        <v>0</v>
      </c>
      <c r="AO41" s="64"/>
      <c r="AP41" s="64"/>
      <c r="AQ41" s="279"/>
      <c r="AR41" s="296" t="s">
        <v>74</v>
      </c>
      <c r="AS41" s="297">
        <f>D41+R41+AF41</f>
        <v>17</v>
      </c>
      <c r="AT41" s="298">
        <f t="shared" si="19"/>
        <v>437.7</v>
      </c>
      <c r="AU41" s="299">
        <f t="shared" si="19"/>
        <v>64.2</v>
      </c>
      <c r="AV41" s="299">
        <f t="shared" si="19"/>
        <v>44.6</v>
      </c>
      <c r="AW41" s="299">
        <f>K41+Y41+AM41</f>
        <v>0</v>
      </c>
      <c r="AX41" s="300">
        <f t="shared" si="20"/>
        <v>9.802000507712364</v>
      </c>
      <c r="AY41" s="301">
        <f t="shared" si="20"/>
        <v>0.9483922549999999</v>
      </c>
      <c r="AZ41" s="302">
        <f>L41+Z41+AN41</f>
        <v>3</v>
      </c>
      <c r="BA41" s="303" t="s">
        <v>23</v>
      </c>
      <c r="BB41" s="288"/>
      <c r="BC41" s="272"/>
      <c r="BD41" s="272"/>
      <c r="BE41" s="272"/>
      <c r="BF41" s="39"/>
      <c r="BG41" s="39"/>
      <c r="BH41" s="39"/>
      <c r="BI41" s="272"/>
      <c r="BJ41" s="272"/>
      <c r="BK41" s="272"/>
      <c r="BL41" s="272"/>
      <c r="BM41" s="272"/>
      <c r="BN41" s="272"/>
      <c r="BO41" s="272"/>
      <c r="BP41" s="272"/>
      <c r="BQ41" s="272"/>
      <c r="BR41" s="272"/>
      <c r="BS41" s="272"/>
      <c r="BT41" s="272"/>
      <c r="BU41" s="272"/>
      <c r="BV41" s="272"/>
      <c r="BW41" s="272"/>
      <c r="BX41" s="272"/>
      <c r="BY41" s="272"/>
      <c r="BZ41" s="272"/>
      <c r="CA41" s="272"/>
      <c r="CB41" s="272"/>
      <c r="CC41" s="272"/>
      <c r="CD41" s="272"/>
      <c r="CE41" s="272"/>
    </row>
    <row r="42" spans="1:83" ht="27" thickBot="1">
      <c r="A42" s="272"/>
      <c r="B42" s="304"/>
      <c r="C42" s="305"/>
      <c r="D42" s="305"/>
      <c r="E42" s="305"/>
      <c r="F42" s="305"/>
      <c r="G42" s="305"/>
      <c r="H42" s="305"/>
      <c r="I42" s="305"/>
      <c r="J42" s="305"/>
      <c r="K42" s="66"/>
      <c r="L42" s="67"/>
      <c r="M42" s="68"/>
      <c r="N42" s="68"/>
      <c r="O42" s="306"/>
      <c r="P42" s="306"/>
      <c r="Q42" s="307"/>
      <c r="R42" s="307"/>
      <c r="S42" s="307"/>
      <c r="T42" s="307"/>
      <c r="U42" s="307"/>
      <c r="V42" s="307"/>
      <c r="W42" s="307"/>
      <c r="X42" s="307"/>
      <c r="Y42" s="68"/>
      <c r="Z42" s="67"/>
      <c r="AA42" s="68"/>
      <c r="AB42" s="68"/>
      <c r="AC42" s="306"/>
      <c r="AD42" s="306"/>
      <c r="AE42" s="307"/>
      <c r="AF42" s="307"/>
      <c r="AG42" s="307"/>
      <c r="AH42" s="307"/>
      <c r="AI42" s="307"/>
      <c r="AJ42" s="307"/>
      <c r="AK42" s="307"/>
      <c r="AL42" s="307"/>
      <c r="AM42" s="68"/>
      <c r="AN42" s="67"/>
      <c r="AO42" s="68"/>
      <c r="AP42" s="68"/>
      <c r="AQ42" s="306"/>
      <c r="AR42" s="306"/>
      <c r="AS42" s="307"/>
      <c r="AT42" s="307"/>
      <c r="AU42" s="307"/>
      <c r="AV42" s="307"/>
      <c r="AW42" s="307"/>
      <c r="AZ42" s="307"/>
      <c r="BA42" s="307"/>
      <c r="BB42" s="306"/>
      <c r="BC42" s="308" t="s">
        <v>244</v>
      </c>
      <c r="BD42" s="309"/>
      <c r="BE42" s="310"/>
      <c r="BF42" s="309"/>
      <c r="BG42" s="309"/>
      <c r="BH42" s="309"/>
      <c r="BI42" s="309"/>
      <c r="BN42" s="39"/>
      <c r="BO42" s="245"/>
      <c r="BP42" s="245"/>
      <c r="BQ42" s="245"/>
      <c r="BR42" s="245"/>
      <c r="BS42" s="272"/>
      <c r="BT42" s="272"/>
      <c r="BU42" s="272"/>
      <c r="BV42" s="272"/>
      <c r="BW42" s="272"/>
      <c r="BX42" s="272"/>
      <c r="BY42" s="272"/>
      <c r="BZ42" s="272"/>
      <c r="CA42" s="272"/>
      <c r="CB42" s="272"/>
      <c r="CC42" s="272"/>
      <c r="CD42" s="272"/>
      <c r="CE42" s="272"/>
    </row>
    <row r="43" spans="1:83" ht="18" customHeight="1" thickTop="1">
      <c r="A43" s="39"/>
      <c r="B43" s="898" t="s">
        <v>260</v>
      </c>
      <c r="C43" s="311" t="s">
        <v>2</v>
      </c>
      <c r="D43" s="311" t="s">
        <v>37</v>
      </c>
      <c r="E43" s="312" t="s">
        <v>14</v>
      </c>
      <c r="F43" s="313" t="s">
        <v>15</v>
      </c>
      <c r="G43" s="900" t="s">
        <v>5</v>
      </c>
      <c r="J43" s="314"/>
      <c r="K43" s="69"/>
      <c r="L43" s="70"/>
      <c r="M43" s="69"/>
      <c r="N43" s="69"/>
      <c r="O43" s="39"/>
      <c r="P43" s="898" t="s">
        <v>260</v>
      </c>
      <c r="Q43" s="311" t="s">
        <v>2</v>
      </c>
      <c r="R43" s="311" t="s">
        <v>37</v>
      </c>
      <c r="S43" s="312" t="s">
        <v>14</v>
      </c>
      <c r="T43" s="313" t="s">
        <v>15</v>
      </c>
      <c r="U43" s="900" t="s">
        <v>5</v>
      </c>
      <c r="X43" s="314"/>
      <c r="Y43" s="69"/>
      <c r="AA43" s="32"/>
      <c r="AB43" s="32"/>
      <c r="AC43" s="39"/>
      <c r="AD43" s="898" t="s">
        <v>260</v>
      </c>
      <c r="AE43" s="311" t="s">
        <v>2</v>
      </c>
      <c r="AF43" s="311" t="s">
        <v>37</v>
      </c>
      <c r="AG43" s="312" t="s">
        <v>14</v>
      </c>
      <c r="AH43" s="313" t="s">
        <v>15</v>
      </c>
      <c r="AI43" s="900" t="s">
        <v>5</v>
      </c>
      <c r="AL43" s="314"/>
      <c r="AM43" s="69"/>
      <c r="AO43" s="32"/>
      <c r="AQ43" s="39"/>
      <c r="AR43" s="881" t="s">
        <v>260</v>
      </c>
      <c r="AS43" s="311" t="s">
        <v>2</v>
      </c>
      <c r="AT43" s="311" t="s">
        <v>37</v>
      </c>
      <c r="AU43" s="312" t="s">
        <v>14</v>
      </c>
      <c r="AV43" s="313" t="s">
        <v>15</v>
      </c>
      <c r="AW43" s="903" t="s">
        <v>5</v>
      </c>
      <c r="AZ43" s="314"/>
      <c r="BA43" s="314"/>
      <c r="BB43" s="39"/>
      <c r="BC43" s="777" t="str">
        <f>C4</f>
        <v>スギ</v>
      </c>
      <c r="BD43" s="777"/>
      <c r="BE43" s="823" t="s">
        <v>141</v>
      </c>
      <c r="BF43" s="824"/>
      <c r="BG43" s="316" t="s">
        <v>2</v>
      </c>
      <c r="BH43" s="317" t="s">
        <v>37</v>
      </c>
      <c r="BI43" s="318" t="s">
        <v>101</v>
      </c>
      <c r="BJ43" s="317" t="s">
        <v>14</v>
      </c>
      <c r="BK43" s="318" t="s">
        <v>15</v>
      </c>
      <c r="BL43" s="815" t="s">
        <v>5</v>
      </c>
      <c r="BM43" s="777" t="s">
        <v>133</v>
      </c>
      <c r="BN43" s="813" t="s">
        <v>132</v>
      </c>
      <c r="BO43" s="317" t="s">
        <v>36</v>
      </c>
      <c r="BP43" s="39"/>
      <c r="BQ43" s="39"/>
      <c r="BR43" s="39"/>
      <c r="BS43" s="39"/>
      <c r="BT43" s="39"/>
      <c r="BU43" s="39"/>
      <c r="BV43" s="39"/>
      <c r="BW43" s="39"/>
      <c r="BX43" s="39"/>
      <c r="BY43" s="39"/>
      <c r="BZ43" s="39"/>
      <c r="CA43" s="39"/>
      <c r="CB43" s="39"/>
      <c r="CC43" s="39"/>
      <c r="CD43" s="39"/>
      <c r="CE43" s="39"/>
    </row>
    <row r="44" spans="1:83" ht="18" customHeight="1">
      <c r="A44" s="39"/>
      <c r="B44" s="899"/>
      <c r="C44" s="319" t="s">
        <v>6</v>
      </c>
      <c r="D44" s="319" t="s">
        <v>17</v>
      </c>
      <c r="E44" s="320" t="s">
        <v>17</v>
      </c>
      <c r="F44" s="321" t="s">
        <v>20</v>
      </c>
      <c r="G44" s="901"/>
      <c r="J44" s="322"/>
      <c r="K44" s="69"/>
      <c r="L44" s="71"/>
      <c r="M44" s="69"/>
      <c r="N44" s="69"/>
      <c r="O44" s="39"/>
      <c r="P44" s="899"/>
      <c r="Q44" s="319" t="s">
        <v>6</v>
      </c>
      <c r="R44" s="319" t="s">
        <v>17</v>
      </c>
      <c r="S44" s="320" t="s">
        <v>17</v>
      </c>
      <c r="T44" s="321" t="s">
        <v>20</v>
      </c>
      <c r="U44" s="901"/>
      <c r="X44" s="322"/>
      <c r="Y44" s="69"/>
      <c r="AA44" s="32"/>
      <c r="AB44" s="32"/>
      <c r="AC44" s="39"/>
      <c r="AD44" s="899"/>
      <c r="AE44" s="319" t="s">
        <v>6</v>
      </c>
      <c r="AF44" s="319" t="s">
        <v>17</v>
      </c>
      <c r="AG44" s="320" t="s">
        <v>17</v>
      </c>
      <c r="AH44" s="321" t="s">
        <v>20</v>
      </c>
      <c r="AI44" s="901"/>
      <c r="AL44" s="322"/>
      <c r="AM44" s="69"/>
      <c r="AO44" s="32"/>
      <c r="AQ44" s="39"/>
      <c r="AR44" s="902"/>
      <c r="AS44" s="319" t="s">
        <v>6</v>
      </c>
      <c r="AT44" s="319" t="s">
        <v>17</v>
      </c>
      <c r="AU44" s="320" t="s">
        <v>17</v>
      </c>
      <c r="AV44" s="321" t="s">
        <v>20</v>
      </c>
      <c r="AW44" s="904"/>
      <c r="AZ44" s="322"/>
      <c r="BA44" s="322"/>
      <c r="BB44" s="39"/>
      <c r="BC44" s="777"/>
      <c r="BD44" s="777"/>
      <c r="BE44" s="324" t="s">
        <v>2</v>
      </c>
      <c r="BF44" s="325" t="s">
        <v>37</v>
      </c>
      <c r="BG44" s="326" t="s">
        <v>6</v>
      </c>
      <c r="BH44" s="132" t="s">
        <v>17</v>
      </c>
      <c r="BI44" s="132" t="s">
        <v>28</v>
      </c>
      <c r="BJ44" s="132" t="s">
        <v>17</v>
      </c>
      <c r="BK44" s="132" t="s">
        <v>20</v>
      </c>
      <c r="BL44" s="816"/>
      <c r="BM44" s="812"/>
      <c r="BN44" s="814"/>
      <c r="BO44" s="327" t="s">
        <v>22</v>
      </c>
      <c r="BP44" s="39"/>
      <c r="BQ44" s="39"/>
      <c r="BR44" s="39"/>
      <c r="BS44" s="39"/>
      <c r="BT44" s="39"/>
      <c r="BU44" s="39"/>
      <c r="BV44" s="39"/>
      <c r="BW44" s="39"/>
      <c r="BX44" s="39"/>
      <c r="BY44" s="39"/>
      <c r="BZ44" s="39"/>
      <c r="CA44" s="39"/>
      <c r="CB44" s="39"/>
      <c r="CC44" s="39"/>
      <c r="CD44" s="39"/>
      <c r="CE44" s="39"/>
    </row>
    <row r="45" spans="1:83" ht="18" customHeight="1">
      <c r="A45" s="328"/>
      <c r="B45" s="329" t="s">
        <v>106</v>
      </c>
      <c r="C45" s="330">
        <f>IF(ISERROR(E39/D39),0,(E39/D39))</f>
        <v>40.724999999999994</v>
      </c>
      <c r="D45" s="330">
        <f>IF(ISERROR(F39/L39),0,(F39/L39))</f>
        <v>24.65</v>
      </c>
      <c r="E45" s="331">
        <f>D45-IF(ISERROR(G39/L39),0,(G39/L39))</f>
        <v>9.799999999999997</v>
      </c>
      <c r="F45" s="332">
        <f>IF(ISERROR(E45/D45),0,(E45/D45))</f>
        <v>0.3975659229208924</v>
      </c>
      <c r="G45" s="330">
        <f>IF(ISERROR(D45/C45*100),0,(D45/C45*100))</f>
        <v>60.52793124616329</v>
      </c>
      <c r="J45" s="333"/>
      <c r="K45" s="72"/>
      <c r="L45" s="70"/>
      <c r="M45" s="70"/>
      <c r="N45" s="70"/>
      <c r="O45" s="328"/>
      <c r="P45" s="329" t="s">
        <v>106</v>
      </c>
      <c r="Q45" s="330">
        <f>IF(ISERROR(S39/R39),0,(S39/R39))</f>
        <v>36.480000000000004</v>
      </c>
      <c r="R45" s="330">
        <f>IF(ISERROR(T39/Z39),0,(T39/Z39))</f>
        <v>25.3</v>
      </c>
      <c r="S45" s="331">
        <f>R45-IF(ISERROR(U39/Z39),0,(U39/Z39))</f>
        <v>9.5</v>
      </c>
      <c r="T45" s="332">
        <f>IF(ISERROR(S45/R45),0,(S45/R45))</f>
        <v>0.37549407114624506</v>
      </c>
      <c r="U45" s="330">
        <f>IF(ISERROR(R45/Q45*100),0,(R45/Q45*100))</f>
        <v>69.35307017543859</v>
      </c>
      <c r="X45" s="333"/>
      <c r="Y45" s="72"/>
      <c r="AA45" s="32"/>
      <c r="AB45" s="32"/>
      <c r="AC45" s="328"/>
      <c r="AD45" s="329" t="s">
        <v>106</v>
      </c>
      <c r="AE45" s="330">
        <f>IF(ISERROR(AG39/AF39),0,(AG39/AF39))</f>
        <v>0</v>
      </c>
      <c r="AF45" s="330">
        <f>IF(ISERROR(AH39/AN39),0,(AH39/AN39))</f>
        <v>0</v>
      </c>
      <c r="AG45" s="331">
        <f>AF45-IF(ISERROR(AI39/AN39),0,(AI39/AN39))</f>
        <v>0</v>
      </c>
      <c r="AH45" s="332">
        <f>IF(ISERROR(AG45/AF45),0,(AG45/AF45))</f>
        <v>0</v>
      </c>
      <c r="AI45" s="330">
        <f>IF(ISERROR(AF45/AE45*100),0,(AF45/AE45*100))</f>
        <v>0</v>
      </c>
      <c r="AL45" s="333"/>
      <c r="AM45" s="72"/>
      <c r="AO45" s="32"/>
      <c r="AQ45" s="328"/>
      <c r="AR45" s="329" t="s">
        <v>106</v>
      </c>
      <c r="AS45" s="330">
        <f>IF(ISERROR(AT39/AS39),0,AT39/AS39)</f>
        <v>38.36666666666666</v>
      </c>
      <c r="AT45" s="330">
        <f>IF(ISERROR(AU39/AZ39),0,AU39/AZ39)</f>
        <v>24.866666666666664</v>
      </c>
      <c r="AU45" s="331">
        <f>IF(ISERROR(AT45-(AV39/AZ39)),0,AT45-(AV39/AZ39))</f>
        <v>9.699999999999998</v>
      </c>
      <c r="AV45" s="332">
        <f>IF(ISERROR(AU45/AT45),0,AU45/AT45)</f>
        <v>0.3900804289544235</v>
      </c>
      <c r="AW45" s="330">
        <f>IF(ISERROR(AT45/AS45*100),0,AT45/AS45*100)</f>
        <v>64.81320590790617</v>
      </c>
      <c r="AZ45" s="333"/>
      <c r="BA45" s="333"/>
      <c r="BB45" s="328"/>
      <c r="BC45" s="827" t="s">
        <v>75</v>
      </c>
      <c r="BD45" s="828"/>
      <c r="BE45" s="334" t="s">
        <v>23</v>
      </c>
      <c r="BF45" s="335" t="s">
        <v>23</v>
      </c>
      <c r="BG45" s="336">
        <f>CA68*100</f>
        <v>31.88235294117647</v>
      </c>
      <c r="BH45" s="337">
        <f>AT47</f>
        <v>22.842857142857138</v>
      </c>
      <c r="BI45" s="338">
        <f>CB68</f>
        <v>850</v>
      </c>
      <c r="BJ45" s="337">
        <f>BZ68</f>
        <v>7.671428571428564</v>
      </c>
      <c r="BK45" s="339">
        <f>BJ45/BH45</f>
        <v>0.3358348968105063</v>
      </c>
      <c r="BL45" s="340">
        <f>BY68</f>
        <v>71.64733790195044</v>
      </c>
      <c r="BM45" s="341">
        <f>(10000/BI45)^(1/2)/BH45</f>
        <v>0.1501551089427845</v>
      </c>
      <c r="BN45" s="342">
        <f>BW68</f>
        <v>73.23877300000001</v>
      </c>
      <c r="BO45" s="521">
        <f>Zaiseki($BC$43,BG45,BH45)*BI45</f>
        <v>680.0212889909744</v>
      </c>
      <c r="BP45" s="328"/>
      <c r="BQ45" s="328"/>
      <c r="BR45" s="328"/>
      <c r="BS45" s="328"/>
      <c r="BT45" s="328"/>
      <c r="BU45" s="328"/>
      <c r="BV45" s="328"/>
      <c r="BW45" s="328"/>
      <c r="BX45" s="328"/>
      <c r="BY45" s="328"/>
      <c r="BZ45" s="328"/>
      <c r="CA45" s="328"/>
      <c r="CB45" s="328"/>
      <c r="CC45" s="328"/>
      <c r="CD45" s="328"/>
      <c r="CE45" s="328"/>
    </row>
    <row r="46" spans="1:83" ht="18" customHeight="1" thickBot="1">
      <c r="A46" s="328"/>
      <c r="B46" s="343" t="s">
        <v>107</v>
      </c>
      <c r="C46" s="344">
        <f>IF(ISERROR(E40/D40),0,(E40/D40))</f>
        <v>24.0625</v>
      </c>
      <c r="D46" s="344">
        <f>IF(ISERROR(F40/L40),0,(F40/L40))</f>
        <v>22</v>
      </c>
      <c r="E46" s="345">
        <f>D46-IF(ISERROR(G40/L40),0,(G40/L40))</f>
        <v>7.199999999999999</v>
      </c>
      <c r="F46" s="346">
        <f>IF(ISERROR(E46/D46),0,(E46/D46))</f>
        <v>0.3272727272727272</v>
      </c>
      <c r="G46" s="344">
        <f>IF(ISERROR(D46/C46*100),0,(D46/C46*100))</f>
        <v>91.42857142857143</v>
      </c>
      <c r="J46" s="333"/>
      <c r="K46" s="72"/>
      <c r="L46" s="70"/>
      <c r="M46" s="70"/>
      <c r="N46" s="70"/>
      <c r="O46" s="328"/>
      <c r="P46" s="343" t="s">
        <v>107</v>
      </c>
      <c r="Q46" s="344">
        <f>IF(ISERROR(S40/R40),0,(S40/R40))</f>
        <v>25.1125</v>
      </c>
      <c r="R46" s="344">
        <f>IF(ISERROR(T40/Z40),0,(T40/Z40))</f>
        <v>20.65</v>
      </c>
      <c r="S46" s="345">
        <f>R46-IF(ISERROR(U40/Z40),0,(U40/Z40))</f>
        <v>5.099999999999998</v>
      </c>
      <c r="T46" s="346">
        <f>IF(ISERROR(S46/R46),0,(S46/R46))</f>
        <v>0.24697336561743333</v>
      </c>
      <c r="U46" s="344">
        <f>IF(ISERROR(R46/Q46*100),0,(R46/Q46*100))</f>
        <v>82.22996515679442</v>
      </c>
      <c r="X46" s="333"/>
      <c r="Y46" s="72"/>
      <c r="AA46" s="32"/>
      <c r="AB46" s="32"/>
      <c r="AC46" s="328"/>
      <c r="AD46" s="343" t="s">
        <v>107</v>
      </c>
      <c r="AE46" s="344">
        <f>IF(ISERROR(AG40/AF40),0,(AG40/AF40))</f>
        <v>0</v>
      </c>
      <c r="AF46" s="344">
        <f>IF(ISERROR(AH40/AN40),0,(AH40/AN40))</f>
        <v>0</v>
      </c>
      <c r="AG46" s="345">
        <f>AF46-IF(ISERROR(AI40/AN40),0,(AI40/AN40))</f>
        <v>0</v>
      </c>
      <c r="AH46" s="346">
        <f>IF(ISERROR(AG46/AF46),0,(AG46/AF46))</f>
        <v>0</v>
      </c>
      <c r="AI46" s="344">
        <f>IF(ISERROR(AF46/AE46*100),0,(AF46/AE46*100))</f>
        <v>0</v>
      </c>
      <c r="AL46" s="333"/>
      <c r="AM46" s="72"/>
      <c r="AO46" s="32"/>
      <c r="AQ46" s="328"/>
      <c r="AR46" s="343" t="s">
        <v>107</v>
      </c>
      <c r="AS46" s="344">
        <f>IF(ISERROR(AT40/AS40),0,AT40/AS40)</f>
        <v>24.5875</v>
      </c>
      <c r="AT46" s="344">
        <f>IF(ISERROR(AU40/AZ40),0,AU40/AZ40)</f>
        <v>21.325</v>
      </c>
      <c r="AU46" s="345">
        <f>IF(ISERROR(AT46-(AV40/AZ40)),0,AT46-(AV40/AZ40))</f>
        <v>6.149999999999999</v>
      </c>
      <c r="AV46" s="346">
        <f>IF(ISERROR(AU46/AT46),0,AU46/AT46)</f>
        <v>0.2883939038686987</v>
      </c>
      <c r="AW46" s="344">
        <f>IF(ISERROR(AT46/AS46*100),0,AT46/AS46*100)</f>
        <v>86.73106253177427</v>
      </c>
      <c r="AZ46" s="333"/>
      <c r="BA46" s="347"/>
      <c r="BB46" s="328"/>
      <c r="BC46" s="827" t="s">
        <v>68</v>
      </c>
      <c r="BD46" s="828"/>
      <c r="BE46" s="334" t="s">
        <v>23</v>
      </c>
      <c r="BF46" s="335" t="s">
        <v>23</v>
      </c>
      <c r="BG46" s="336">
        <f>CA69*100</f>
        <v>38.01764705882353</v>
      </c>
      <c r="BH46" s="337">
        <f>AT49</f>
        <v>23.924999999999994</v>
      </c>
      <c r="BI46" s="348">
        <f>CB69</f>
        <v>425</v>
      </c>
      <c r="BJ46" s="337">
        <f>BZ69</f>
        <v>8.52499999999999</v>
      </c>
      <c r="BK46" s="339">
        <f>BJ46/BH46</f>
        <v>0.35632183908045945</v>
      </c>
      <c r="BL46" s="340">
        <f>BY69</f>
        <v>62.93130125328793</v>
      </c>
      <c r="BM46" s="341">
        <f>(10000/BI46)^(1/2)/BH46</f>
        <v>0.20274660400111436</v>
      </c>
      <c r="BN46" s="349">
        <f>BW69</f>
        <v>49.52896662500001</v>
      </c>
      <c r="BO46" s="521">
        <f>Zaiseki($BC$43,BG46,BH46)*BI46</f>
        <v>491.00068509578705</v>
      </c>
      <c r="BP46" s="513"/>
      <c r="BQ46" s="328"/>
      <c r="BR46" s="328"/>
      <c r="BS46" s="328"/>
      <c r="BT46" s="328"/>
      <c r="BU46" s="328"/>
      <c r="BV46" s="328"/>
      <c r="BW46" s="328"/>
      <c r="BX46" s="328"/>
      <c r="BY46" s="328"/>
      <c r="BZ46" s="328"/>
      <c r="CA46" s="328"/>
      <c r="CB46" s="328"/>
      <c r="CC46" s="328"/>
      <c r="CD46" s="328"/>
      <c r="CE46" s="328"/>
    </row>
    <row r="47" spans="1:83" ht="18" customHeight="1">
      <c r="A47" s="245"/>
      <c r="B47" s="350" t="s">
        <v>75</v>
      </c>
      <c r="C47" s="351">
        <f>E37</f>
        <v>32.39375</v>
      </c>
      <c r="D47" s="351">
        <f>F37</f>
        <v>23.325</v>
      </c>
      <c r="E47" s="352">
        <f>F37-G37</f>
        <v>8.499999999999998</v>
      </c>
      <c r="F47" s="353">
        <f>IF(ISERROR(E47/D47),0,(E47/D47))</f>
        <v>0.3644158628081457</v>
      </c>
      <c r="G47" s="354">
        <f>IF(ISERROR(D47/C47*100),0,(D47/C47*100))</f>
        <v>72.00463052286321</v>
      </c>
      <c r="J47" s="314"/>
      <c r="K47" s="73"/>
      <c r="L47" s="70"/>
      <c r="M47" s="73"/>
      <c r="N47" s="73"/>
      <c r="O47" s="245"/>
      <c r="P47" s="350" t="s">
        <v>75</v>
      </c>
      <c r="Q47" s="351">
        <f>S37</f>
        <v>31.42777777777778</v>
      </c>
      <c r="R47" s="351">
        <f>T37</f>
        <v>22.2</v>
      </c>
      <c r="S47" s="352">
        <f>T37-U37</f>
        <v>6.566666666666665</v>
      </c>
      <c r="T47" s="355">
        <f>IF(ISERROR(S47/R47),0,(S47/R47))</f>
        <v>0.29579579579579574</v>
      </c>
      <c r="U47" s="354">
        <f>IF(ISERROR(R47/Q47*100),0,(R47/Q47*100))</f>
        <v>70.63814742796535</v>
      </c>
      <c r="X47" s="314"/>
      <c r="Y47" s="73"/>
      <c r="AA47" s="32"/>
      <c r="AB47" s="32"/>
      <c r="AC47" s="245"/>
      <c r="AD47" s="350" t="s">
        <v>75</v>
      </c>
      <c r="AE47" s="351">
        <f>AG37</f>
        <v>0</v>
      </c>
      <c r="AF47" s="351">
        <f>AH37</f>
        <v>0</v>
      </c>
      <c r="AG47" s="352">
        <f>AH37-AI37</f>
        <v>0</v>
      </c>
      <c r="AH47" s="355">
        <f>IF(ISERROR(AG47/AF47),0,(AG47/AF47))</f>
        <v>0</v>
      </c>
      <c r="AI47" s="354">
        <f>IF(ISERROR(AF47/AE47*100),0,(AF47/AE47*100))</f>
        <v>0</v>
      </c>
      <c r="AL47" s="314"/>
      <c r="AM47" s="73"/>
      <c r="AO47" s="32"/>
      <c r="AQ47" s="245"/>
      <c r="AR47" s="356" t="s">
        <v>75</v>
      </c>
      <c r="AS47" s="351">
        <f>AT37</f>
        <v>31.88235294117647</v>
      </c>
      <c r="AT47" s="351">
        <f>AU37</f>
        <v>22.842857142857138</v>
      </c>
      <c r="AU47" s="357">
        <f>AU37-AV37</f>
        <v>7.671428571428564</v>
      </c>
      <c r="AV47" s="358">
        <f>IF(ISERROR(AU47/AT47),0,AU47/AT47)</f>
        <v>0.3358348968105063</v>
      </c>
      <c r="AW47" s="354">
        <f>AT47/AS47*100</f>
        <v>71.64733790195044</v>
      </c>
      <c r="AZ47" s="314"/>
      <c r="BA47" s="314"/>
      <c r="BB47" s="245"/>
      <c r="BC47" s="840" t="s">
        <v>163</v>
      </c>
      <c r="BD47" s="840"/>
      <c r="BE47" s="738">
        <v>7</v>
      </c>
      <c r="BF47" s="739">
        <v>3</v>
      </c>
      <c r="BG47" s="359">
        <f>BG46+BE47</f>
        <v>45.01764705882353</v>
      </c>
      <c r="BH47" s="360">
        <f>BH46+BF47</f>
        <v>26.924999999999994</v>
      </c>
      <c r="BI47" s="361">
        <f>BI46</f>
        <v>425</v>
      </c>
      <c r="BJ47" s="360">
        <f>BJ46+BF47</f>
        <v>11.52499999999999</v>
      </c>
      <c r="BK47" s="339">
        <f>BJ47/BH47</f>
        <v>0.42804085422469795</v>
      </c>
      <c r="BL47" s="362">
        <f>BH47/BG47*100</f>
        <v>59.80987847902782</v>
      </c>
      <c r="BM47" s="341">
        <f>(10000/BI47)^(1/2)/BH47</f>
        <v>0.18015645313748044</v>
      </c>
      <c r="BN47" s="363">
        <f>(BG47/100/2)^2*PI()*BI47</f>
        <v>67.64635420839792</v>
      </c>
      <c r="BO47" s="521">
        <f>Zaiseki($BC$43,BG47,BH47)*BI47</f>
        <v>751.7677217721939</v>
      </c>
      <c r="BP47" s="514"/>
      <c r="BQ47" s="245"/>
      <c r="BR47" s="245"/>
      <c r="BS47" s="245"/>
      <c r="BT47" s="245"/>
      <c r="BU47" s="245"/>
      <c r="BV47" s="245"/>
      <c r="BW47" s="245"/>
      <c r="BX47" s="245"/>
      <c r="BY47" s="245"/>
      <c r="BZ47" s="245"/>
      <c r="CA47" s="245"/>
      <c r="CB47" s="245"/>
      <c r="CC47" s="245"/>
      <c r="CD47" s="245"/>
      <c r="CE47" s="245"/>
    </row>
    <row r="48" spans="1:83" ht="18" customHeight="1">
      <c r="A48" s="245"/>
      <c r="B48" s="364" t="s">
        <v>134</v>
      </c>
      <c r="C48" s="365">
        <f>IF(ISERROR(E41/C36),0,(E41/C36))</f>
        <v>24.3875</v>
      </c>
      <c r="D48" s="365">
        <f>IF(ISERROR(F41/L41),0,(F41/L41))</f>
        <v>22</v>
      </c>
      <c r="E48" s="366">
        <f>D48-IF(ISERROR(G41/L41),0,(G41/L41))</f>
        <v>7.199999999999999</v>
      </c>
      <c r="F48" s="367">
        <f>IF(ISERROR(E48/D48),0,(E48/D48))</f>
        <v>0.3272727272727272</v>
      </c>
      <c r="G48" s="368">
        <f>IF(ISERROR(D48/C48*100),0,(D48/C48*100))</f>
        <v>90.2101486417222</v>
      </c>
      <c r="J48" s="314"/>
      <c r="K48" s="73"/>
      <c r="L48" s="70"/>
      <c r="M48" s="73"/>
      <c r="N48" s="73"/>
      <c r="O48" s="245"/>
      <c r="P48" s="364" t="s">
        <v>134</v>
      </c>
      <c r="Q48" s="365">
        <f>IF(ISERROR(S41/Q36),0,(S41/Q36))</f>
        <v>26.955555555555556</v>
      </c>
      <c r="R48" s="365">
        <f>IF(ISERROR(T41/Z41),0,(T41/Z41))</f>
        <v>20.2</v>
      </c>
      <c r="S48" s="366">
        <f>R48-IF(ISERROR(U41/Z41),0,(U41/Z41))</f>
        <v>5.199999999999999</v>
      </c>
      <c r="T48" s="369">
        <f>IF(ISERROR(S48/R48),0,(S48/R48))</f>
        <v>0.2574257425742574</v>
      </c>
      <c r="U48" s="368">
        <f>IF(ISERROR(R48/Q48*100),0,(R48/Q48*100))</f>
        <v>74.93816982687551</v>
      </c>
      <c r="X48" s="314"/>
      <c r="Y48" s="73"/>
      <c r="AA48" s="32"/>
      <c r="AB48" s="32"/>
      <c r="AC48" s="245"/>
      <c r="AD48" s="364" t="s">
        <v>134</v>
      </c>
      <c r="AE48" s="365">
        <f>IF(ISERROR(AG41/AE36),0,(AG41/AE36))</f>
        <v>0</v>
      </c>
      <c r="AF48" s="365">
        <f>IF(ISERROR(AH41/AN41),0,(AH41/AN41))</f>
        <v>0</v>
      </c>
      <c r="AG48" s="366">
        <f>AF48-IF(ISERROR(AI41/AN41),0,(AI41/AN41))</f>
        <v>0</v>
      </c>
      <c r="AH48" s="369">
        <f>IF(ISERROR(AG48/AF48),0,(AG48/AF48))</f>
        <v>0</v>
      </c>
      <c r="AI48" s="368">
        <f>IF(ISERROR(AF48/AE48*100),0,(AF48/AE48*100))</f>
        <v>0</v>
      </c>
      <c r="AL48" s="314"/>
      <c r="AM48" s="73"/>
      <c r="AO48" s="32"/>
      <c r="AQ48" s="245"/>
      <c r="AR48" s="370" t="s">
        <v>134</v>
      </c>
      <c r="AS48" s="371">
        <f>IF(ISERROR(AT41/AS41),0,(AT41/AS41))</f>
        <v>25.74705882352941</v>
      </c>
      <c r="AT48" s="371">
        <f>IF(ISERROR(AU41/AZ41),0,(AU41/AZ41))</f>
        <v>21.400000000000002</v>
      </c>
      <c r="AU48" s="372">
        <f>IF(ISERROR(AT48-(AV41/AZ41)),0,(AT48-(AV41/AZ41)))</f>
        <v>6.533333333333335</v>
      </c>
      <c r="AV48" s="373">
        <f>IF(ISERROR(AU48/AT48),0,(AU48/AT48))</f>
        <v>0.3052959501557633</v>
      </c>
      <c r="AW48" s="368">
        <f>IF(ISERROR(AT48/AS48*100),0,(AT48/AS48*100))</f>
        <v>83.11628969613892</v>
      </c>
      <c r="AZ48" s="314"/>
      <c r="BA48" s="314"/>
      <c r="BB48" s="245"/>
      <c r="BC48" s="829" t="s">
        <v>164</v>
      </c>
      <c r="BD48" s="829"/>
      <c r="BE48" s="738">
        <v>1</v>
      </c>
      <c r="BF48" s="739">
        <v>0</v>
      </c>
      <c r="BG48" s="359">
        <f>BG47+BE48</f>
        <v>46.01764705882353</v>
      </c>
      <c r="BH48" s="360">
        <f>BH47+BF48</f>
        <v>26.924999999999994</v>
      </c>
      <c r="BI48" s="361">
        <f>BI47*(1-BF37)</f>
        <v>297.5</v>
      </c>
      <c r="BJ48" s="360">
        <f>BJ47+BF48</f>
        <v>11.52499999999999</v>
      </c>
      <c r="BK48" s="339">
        <f>BJ48/BH48</f>
        <v>0.42804085422469795</v>
      </c>
      <c r="BL48" s="362">
        <f>BH48/BG48*100</f>
        <v>58.51016234181259</v>
      </c>
      <c r="BM48" s="341">
        <f>(10000/BI48)^(1/2)/BH48</f>
        <v>0.2153281469461276</v>
      </c>
      <c r="BN48" s="363">
        <f>(BG48/100/2)^2*PI()*BI48</f>
        <v>49.47954179180785</v>
      </c>
      <c r="BO48" s="521">
        <f>Zaiseki($BC$43,BG48,BH48)*BI48</f>
        <v>547.789696753025</v>
      </c>
      <c r="BP48" s="514"/>
      <c r="BQ48" s="245"/>
      <c r="BR48" s="245"/>
      <c r="BS48" s="245"/>
      <c r="BT48" s="245"/>
      <c r="BU48" s="245"/>
      <c r="BV48" s="245"/>
      <c r="BW48" s="245"/>
      <c r="BX48" s="245"/>
      <c r="BY48" s="245"/>
      <c r="BZ48" s="245"/>
      <c r="CA48" s="245"/>
      <c r="CB48" s="245"/>
      <c r="CC48" s="245"/>
      <c r="CD48" s="245"/>
      <c r="CE48" s="245"/>
    </row>
    <row r="49" spans="1:83" ht="18" customHeight="1" thickBot="1">
      <c r="A49" s="245"/>
      <c r="B49" s="374" t="s">
        <v>68</v>
      </c>
      <c r="C49" s="375">
        <f>IF(ISERROR((E36-E41)/(D36-D41)),0,(E36-E41)/(D36-D41))</f>
        <v>40.39999999999999</v>
      </c>
      <c r="D49" s="376">
        <f>IF(ISERROR((F36-F41)/(L37-L41)),0,((F36-F41)/(L37-L41)))</f>
        <v>24.65</v>
      </c>
      <c r="E49" s="377">
        <f>D49-IF(ISERROR((G36-G41)/(L37-L41)),0,((G36-G41)/(L37-L41)))</f>
        <v>9.799999999999997</v>
      </c>
      <c r="F49" s="378">
        <f>IF(ISERROR(E49/D49),0,(E49/D49))</f>
        <v>0.3975659229208924</v>
      </c>
      <c r="G49" s="379">
        <f>IF(ISERROR(D49/C49*100),0,(D49/C49*100))</f>
        <v>61.014851485148526</v>
      </c>
      <c r="J49" s="314"/>
      <c r="K49" s="73"/>
      <c r="L49" s="70"/>
      <c r="M49" s="73"/>
      <c r="N49" s="73"/>
      <c r="O49" s="245"/>
      <c r="P49" s="374" t="s">
        <v>68</v>
      </c>
      <c r="Q49" s="375">
        <f>IF(ISERROR((S36-S41)/(R36-R41)),0,(S36-S41)/(R36-R41))</f>
        <v>35.900000000000006</v>
      </c>
      <c r="R49" s="376">
        <f>IF(ISERROR((T36-T41)/(Z37-Z41)),0,((T36-T41)/(Z37-Z41)))</f>
        <v>23.199999999999996</v>
      </c>
      <c r="S49" s="377">
        <f>R49-IF(ISERROR((U36-U41)/(Z37-Z41)),0,((U36-U41)/(Z37-Z41)))</f>
        <v>7.249999999999993</v>
      </c>
      <c r="T49" s="378">
        <f>IF(ISERROR(S49/R49),0,(S49/R49))</f>
        <v>0.3124999999999998</v>
      </c>
      <c r="U49" s="379">
        <f>IF(ISERROR(R49/Q49*100),0,(R49/Q49*100))</f>
        <v>64.62395543175485</v>
      </c>
      <c r="X49" s="314"/>
      <c r="Y49" s="73"/>
      <c r="AA49" s="32"/>
      <c r="AB49" s="32"/>
      <c r="AC49" s="245"/>
      <c r="AD49" s="374" t="s">
        <v>68</v>
      </c>
      <c r="AE49" s="375">
        <f>IF(ISERROR((AG36-AG41)/(AF36-AF41)),0,(AG36-AG41)/(AF36-AF41))</f>
        <v>0</v>
      </c>
      <c r="AF49" s="376">
        <f>IF(ISERROR((AH36-AH41)/(AN37-AN41)),0,((AH36-AH41)/(AN37-AN41)))</f>
        <v>0</v>
      </c>
      <c r="AG49" s="377">
        <f>AF49-IF(ISERROR((AI36-AI41)/(AN37-AN41)),0,((AI36-AI41)/(AN37-AN41)))</f>
        <v>0</v>
      </c>
      <c r="AH49" s="378">
        <f>IF(ISERROR(AG49/AF49),0,(AG49/AF49))</f>
        <v>0</v>
      </c>
      <c r="AI49" s="379">
        <f>IF(ISERROR(AF49/AE49*100),0,(AF49/AE49*100))</f>
        <v>0</v>
      </c>
      <c r="AL49" s="314"/>
      <c r="AM49" s="73"/>
      <c r="AO49" s="32"/>
      <c r="AQ49" s="245"/>
      <c r="AR49" s="380" t="s">
        <v>68</v>
      </c>
      <c r="AS49" s="381">
        <f>IF(ISERROR((AT36-AT41)/(AS36-AS41)),0,((AT36-AT41)/(AS36-AS41)))</f>
        <v>38.01764705882353</v>
      </c>
      <c r="AT49" s="381">
        <f>IF(ISERROR((AU36-AU41)/(AZ36-AZ41)),0,(AU36-AU41)/(AZ36-AZ41))</f>
        <v>23.924999999999994</v>
      </c>
      <c r="AU49" s="382">
        <f>IF(ISERROR(AT49-(AV36-AV41)/(AZ36-AZ41)),0,AT49-(AV36-AV41)/(AZ36-AZ41))</f>
        <v>8.52499999999999</v>
      </c>
      <c r="AV49" s="383">
        <f>IF(ISERROR(AU49/AT49),0,AU49/AT49)</f>
        <v>0.35632183908045945</v>
      </c>
      <c r="AW49" s="384">
        <f>AT49/AS49*100</f>
        <v>62.93130125328793</v>
      </c>
      <c r="AZ49" s="314"/>
      <c r="BA49" s="314"/>
      <c r="BB49" s="245"/>
      <c r="BC49" s="245"/>
      <c r="BD49" s="245"/>
      <c r="BE49" s="245"/>
      <c r="BF49" s="245"/>
      <c r="BG49" s="245"/>
      <c r="BH49" s="245"/>
      <c r="BI49" s="245"/>
      <c r="BJ49" s="245"/>
      <c r="BK49" s="245"/>
      <c r="BL49" s="245"/>
      <c r="BM49" s="245"/>
      <c r="BN49" s="245"/>
      <c r="BO49" s="245"/>
      <c r="BP49" s="245"/>
      <c r="BQ49" s="245"/>
      <c r="BR49" s="245"/>
      <c r="BS49" s="245"/>
      <c r="BT49" s="245"/>
      <c r="BU49" s="245"/>
      <c r="BV49" s="245"/>
      <c r="BW49" s="245"/>
      <c r="BX49" s="245"/>
      <c r="BY49" s="245"/>
      <c r="BZ49" s="245"/>
      <c r="CA49" s="245"/>
      <c r="CB49" s="245"/>
      <c r="CC49" s="385"/>
      <c r="CD49" s="385"/>
      <c r="CE49" s="385"/>
    </row>
    <row r="50" spans="1:83" ht="18" customHeight="1">
      <c r="A50" s="245"/>
      <c r="B50" s="881" t="s">
        <v>76</v>
      </c>
      <c r="C50" s="386">
        <f>$AS$50</f>
        <v>33.05999999999999</v>
      </c>
      <c r="D50" s="893" t="s">
        <v>23</v>
      </c>
      <c r="E50" s="387">
        <f>D$49*F$50</f>
        <v>9.366999999999999</v>
      </c>
      <c r="F50" s="388">
        <v>0.38</v>
      </c>
      <c r="G50" s="389">
        <f>$BK$18</f>
        <v>41.8</v>
      </c>
      <c r="J50" s="314"/>
      <c r="K50" s="73"/>
      <c r="L50" s="70"/>
      <c r="M50" s="73"/>
      <c r="N50" s="73"/>
      <c r="O50" s="245"/>
      <c r="P50" s="881" t="s">
        <v>76</v>
      </c>
      <c r="Q50" s="386">
        <f>$AS$50</f>
        <v>33.05999999999999</v>
      </c>
      <c r="R50" s="893" t="s">
        <v>23</v>
      </c>
      <c r="S50" s="387">
        <f>R$49*T$50</f>
        <v>8.815999999999999</v>
      </c>
      <c r="T50" s="388">
        <v>0.38</v>
      </c>
      <c r="U50" s="389">
        <f>$BK$18</f>
        <v>41.8</v>
      </c>
      <c r="X50" s="314"/>
      <c r="Y50" s="73"/>
      <c r="AA50" s="32"/>
      <c r="AB50" s="32"/>
      <c r="AC50" s="245"/>
      <c r="AD50" s="881" t="s">
        <v>76</v>
      </c>
      <c r="AE50" s="386">
        <f>$AS$50</f>
        <v>33.05999999999999</v>
      </c>
      <c r="AF50" s="893" t="s">
        <v>23</v>
      </c>
      <c r="AG50" s="387">
        <f>AF$49*AH$50</f>
        <v>0</v>
      </c>
      <c r="AH50" s="388">
        <v>0.38</v>
      </c>
      <c r="AI50" s="389">
        <f>$BK$18</f>
        <v>41.8</v>
      </c>
      <c r="AL50" s="314"/>
      <c r="AM50" s="73"/>
      <c r="AO50" s="32"/>
      <c r="AQ50" s="245"/>
      <c r="AR50" s="881" t="s">
        <v>76</v>
      </c>
      <c r="AS50" s="386">
        <f>BJ18*100</f>
        <v>33.05999999999999</v>
      </c>
      <c r="AT50" s="893" t="s">
        <v>23</v>
      </c>
      <c r="AU50" s="387">
        <f>AT$49*AV$50</f>
        <v>9.091499999999998</v>
      </c>
      <c r="AV50" s="390">
        <v>0.38</v>
      </c>
      <c r="AW50" s="533">
        <f>$BK$18</f>
        <v>41.8</v>
      </c>
      <c r="AZ50" s="314"/>
      <c r="BA50" s="314"/>
      <c r="BB50" s="245"/>
      <c r="BC50" s="245"/>
      <c r="BD50" s="245"/>
      <c r="BE50" s="245"/>
      <c r="BF50" s="245"/>
      <c r="BG50" s="245"/>
      <c r="BH50" s="245"/>
      <c r="BI50" s="245"/>
      <c r="BJ50" s="245"/>
      <c r="BK50" s="245"/>
      <c r="BL50" s="245"/>
      <c r="BM50" s="245"/>
      <c r="BN50" s="245"/>
      <c r="BO50" s="515"/>
      <c r="BP50" s="245"/>
      <c r="BQ50" s="245"/>
      <c r="BR50" s="245"/>
      <c r="BS50" s="245"/>
      <c r="BT50" s="245"/>
      <c r="BU50" s="245"/>
      <c r="BV50" s="245"/>
      <c r="BW50" s="245"/>
      <c r="BX50" s="245"/>
      <c r="BY50" s="245"/>
      <c r="BZ50" s="245"/>
      <c r="CA50" s="245"/>
      <c r="CB50" s="245"/>
      <c r="CC50" s="385"/>
      <c r="CD50" s="385"/>
      <c r="CE50" s="385"/>
    </row>
    <row r="51" spans="1:83" ht="18" customHeight="1" thickBot="1">
      <c r="A51" s="245"/>
      <c r="B51" s="882"/>
      <c r="C51" s="391">
        <f>$AS$51</f>
        <v>53.93999999999999</v>
      </c>
      <c r="D51" s="894"/>
      <c r="E51" s="392">
        <f>D$49*F$51</f>
        <v>15.283</v>
      </c>
      <c r="F51" s="393">
        <v>0.62</v>
      </c>
      <c r="G51" s="394">
        <f>$BK$17</f>
        <v>68.2</v>
      </c>
      <c r="J51" s="314"/>
      <c r="K51" s="73"/>
      <c r="L51" s="70"/>
      <c r="M51" s="73"/>
      <c r="N51" s="73"/>
      <c r="O51" s="245"/>
      <c r="P51" s="882"/>
      <c r="Q51" s="391">
        <f>$AS$51</f>
        <v>53.93999999999999</v>
      </c>
      <c r="R51" s="894"/>
      <c r="S51" s="392">
        <f>R$49*T$51</f>
        <v>14.383999999999997</v>
      </c>
      <c r="T51" s="393">
        <v>0.62</v>
      </c>
      <c r="U51" s="394">
        <f>$BK$17</f>
        <v>68.2</v>
      </c>
      <c r="X51" s="314"/>
      <c r="Y51" s="73"/>
      <c r="AA51" s="32"/>
      <c r="AB51" s="32"/>
      <c r="AC51" s="245"/>
      <c r="AD51" s="882"/>
      <c r="AE51" s="391">
        <f>$AS$51</f>
        <v>53.93999999999999</v>
      </c>
      <c r="AF51" s="894"/>
      <c r="AG51" s="392">
        <f>AF$49*AH$51</f>
        <v>0</v>
      </c>
      <c r="AH51" s="393">
        <v>0.62</v>
      </c>
      <c r="AI51" s="394">
        <f>$BK$17</f>
        <v>68.2</v>
      </c>
      <c r="AL51" s="314"/>
      <c r="AM51" s="73"/>
      <c r="AO51" s="32"/>
      <c r="AQ51" s="245"/>
      <c r="AR51" s="882"/>
      <c r="AS51" s="391">
        <f>BJ17*100</f>
        <v>53.93999999999999</v>
      </c>
      <c r="AT51" s="894"/>
      <c r="AU51" s="392">
        <f>AT$49*AV$51</f>
        <v>14.833499999999995</v>
      </c>
      <c r="AV51" s="395">
        <v>0.62</v>
      </c>
      <c r="AW51" s="394">
        <f>$BK$17</f>
        <v>68.2</v>
      </c>
      <c r="AZ51" s="396"/>
      <c r="BA51" s="245"/>
      <c r="BB51" s="245"/>
      <c r="BC51" s="245"/>
      <c r="BD51" s="245"/>
      <c r="BE51" s="245"/>
      <c r="BF51" s="245"/>
      <c r="BG51" s="245"/>
      <c r="BH51" s="245"/>
      <c r="BI51" s="245"/>
      <c r="BJ51" s="245"/>
      <c r="BK51" s="245"/>
      <c r="BL51" s="245"/>
      <c r="BM51" s="245"/>
      <c r="BN51" s="245"/>
      <c r="BO51" s="245"/>
      <c r="BP51" s="245"/>
      <c r="BQ51" s="245"/>
      <c r="BR51" s="245"/>
      <c r="BS51" s="201"/>
      <c r="BT51" s="201"/>
      <c r="BU51" s="245"/>
      <c r="BV51" s="245"/>
      <c r="BW51" s="245"/>
      <c r="BX51" s="245"/>
      <c r="BY51" s="245"/>
      <c r="BZ51" s="245"/>
      <c r="CA51" s="245"/>
      <c r="CB51" s="245"/>
      <c r="CC51" s="201"/>
      <c r="CD51" s="201"/>
      <c r="CE51" s="201"/>
    </row>
    <row r="52" spans="1:83" ht="18" customHeight="1" thickBot="1">
      <c r="A52" s="201"/>
      <c r="B52" s="201"/>
      <c r="C52" s="397"/>
      <c r="D52" s="397"/>
      <c r="E52" s="397"/>
      <c r="F52" s="397"/>
      <c r="G52" s="398"/>
      <c r="H52" s="397"/>
      <c r="I52" s="399"/>
      <c r="J52" s="314"/>
      <c r="K52" s="74"/>
      <c r="L52" s="32"/>
      <c r="M52" s="32"/>
      <c r="N52" s="32"/>
      <c r="O52" s="201"/>
      <c r="P52" s="201"/>
      <c r="Q52" s="397"/>
      <c r="R52" s="397"/>
      <c r="S52" s="397"/>
      <c r="T52" s="397"/>
      <c r="U52" s="398"/>
      <c r="V52" s="397"/>
      <c r="W52" s="399"/>
      <c r="X52" s="314"/>
      <c r="Y52" s="74"/>
      <c r="AA52" s="32"/>
      <c r="AB52" s="32"/>
      <c r="AC52" s="201"/>
      <c r="AD52" s="201"/>
      <c r="AE52" s="397"/>
      <c r="AF52" s="397"/>
      <c r="AG52" s="397"/>
      <c r="AH52" s="397"/>
      <c r="AI52" s="398"/>
      <c r="AJ52" s="397"/>
      <c r="AK52" s="399"/>
      <c r="AL52" s="314"/>
      <c r="AM52" s="74"/>
      <c r="AO52" s="32"/>
      <c r="AQ52" s="201"/>
      <c r="AR52" s="201"/>
      <c r="AS52" s="397"/>
      <c r="AT52" s="397"/>
      <c r="AU52" s="397"/>
      <c r="AV52" s="397"/>
      <c r="AW52" s="398"/>
      <c r="AX52" s="397"/>
      <c r="AY52" s="399"/>
      <c r="AZ52" s="314"/>
      <c r="BA52" s="314"/>
      <c r="BB52" s="201"/>
      <c r="BC52" s="245"/>
      <c r="BD52" s="245"/>
      <c r="BE52" s="245"/>
      <c r="BF52" s="245"/>
      <c r="BG52" s="245"/>
      <c r="BH52" s="245"/>
      <c r="BI52" s="245"/>
      <c r="BJ52" s="245"/>
      <c r="BK52" s="328"/>
      <c r="BL52" s="328"/>
      <c r="BM52" s="328"/>
      <c r="BN52" s="328"/>
      <c r="BP52" s="201"/>
      <c r="BQ52" s="201"/>
      <c r="BR52" s="201"/>
      <c r="BS52" s="39"/>
      <c r="BT52" s="39"/>
      <c r="BU52" s="201"/>
      <c r="BV52" s="201"/>
      <c r="BW52" s="201"/>
      <c r="BX52" s="201"/>
      <c r="BY52" s="201"/>
      <c r="BZ52" s="201"/>
      <c r="CA52" s="201"/>
      <c r="CB52" s="201"/>
      <c r="CC52" s="400"/>
      <c r="CD52" s="39"/>
      <c r="CE52" s="39"/>
    </row>
    <row r="53" spans="1:83" ht="18" customHeight="1">
      <c r="A53" s="39"/>
      <c r="B53" s="315" t="s">
        <v>29</v>
      </c>
      <c r="C53" s="889" t="s">
        <v>101</v>
      </c>
      <c r="D53" s="890"/>
      <c r="E53" s="891" t="s">
        <v>35</v>
      </c>
      <c r="F53" s="892"/>
      <c r="G53" s="315" t="s">
        <v>97</v>
      </c>
      <c r="H53" s="887" t="s">
        <v>36</v>
      </c>
      <c r="I53" s="888"/>
      <c r="J53" s="314"/>
      <c r="K53" s="75"/>
      <c r="L53" s="32"/>
      <c r="M53" s="32"/>
      <c r="N53" s="32"/>
      <c r="O53" s="39"/>
      <c r="P53" s="315" t="s">
        <v>29</v>
      </c>
      <c r="Q53" s="889" t="s">
        <v>101</v>
      </c>
      <c r="R53" s="890"/>
      <c r="S53" s="891" t="s">
        <v>35</v>
      </c>
      <c r="T53" s="892"/>
      <c r="U53" s="315" t="s">
        <v>97</v>
      </c>
      <c r="V53" s="887" t="s">
        <v>36</v>
      </c>
      <c r="W53" s="888"/>
      <c r="X53" s="314"/>
      <c r="Y53" s="75"/>
      <c r="AA53" s="32"/>
      <c r="AB53" s="32"/>
      <c r="AC53" s="39"/>
      <c r="AD53" s="315" t="s">
        <v>29</v>
      </c>
      <c r="AE53" s="889" t="s">
        <v>101</v>
      </c>
      <c r="AF53" s="890"/>
      <c r="AG53" s="891" t="s">
        <v>35</v>
      </c>
      <c r="AH53" s="892"/>
      <c r="AI53" s="315" t="s">
        <v>97</v>
      </c>
      <c r="AJ53" s="887" t="s">
        <v>36</v>
      </c>
      <c r="AK53" s="888"/>
      <c r="AL53" s="314"/>
      <c r="AM53" s="75"/>
      <c r="AO53" s="32"/>
      <c r="AQ53" s="39"/>
      <c r="AR53" s="401" t="s">
        <v>29</v>
      </c>
      <c r="AS53" s="889" t="s">
        <v>101</v>
      </c>
      <c r="AT53" s="890"/>
      <c r="AU53" s="891" t="s">
        <v>35</v>
      </c>
      <c r="AV53" s="892"/>
      <c r="AW53" s="315" t="s">
        <v>97</v>
      </c>
      <c r="AX53" s="887" t="s">
        <v>36</v>
      </c>
      <c r="AY53" s="888"/>
      <c r="AZ53" s="314"/>
      <c r="BA53" s="314"/>
      <c r="BB53" s="39"/>
      <c r="BC53" s="308" t="s">
        <v>186</v>
      </c>
      <c r="BD53" s="402"/>
      <c r="BE53" s="402"/>
      <c r="BF53" s="403"/>
      <c r="BG53" s="39"/>
      <c r="BH53" s="39"/>
      <c r="BI53" s="403"/>
      <c r="BJ53" s="308" t="s">
        <v>185</v>
      </c>
      <c r="BK53" s="404"/>
      <c r="BL53" s="404"/>
      <c r="BM53" s="403"/>
      <c r="BN53" s="39"/>
      <c r="BP53" s="39"/>
      <c r="BQ53" s="39"/>
      <c r="BR53" s="39"/>
      <c r="BS53" s="39"/>
      <c r="BU53" s="39"/>
      <c r="BV53" s="39"/>
      <c r="BW53" s="39"/>
      <c r="BX53" s="39"/>
      <c r="BY53" s="39"/>
      <c r="BZ53" s="39"/>
      <c r="CA53" s="39"/>
      <c r="CB53" s="39"/>
      <c r="CC53" s="39"/>
      <c r="CD53" s="39"/>
      <c r="CE53" s="39"/>
    </row>
    <row r="54" spans="1:83" ht="18" customHeight="1">
      <c r="A54" s="39"/>
      <c r="B54" s="323" t="s">
        <v>30</v>
      </c>
      <c r="C54" s="405" t="s">
        <v>28</v>
      </c>
      <c r="D54" s="406" t="s">
        <v>31</v>
      </c>
      <c r="E54" s="405" t="s">
        <v>21</v>
      </c>
      <c r="F54" s="406" t="s">
        <v>31</v>
      </c>
      <c r="G54" s="323" t="s">
        <v>77</v>
      </c>
      <c r="H54" s="407" t="s">
        <v>22</v>
      </c>
      <c r="I54" s="406" t="s">
        <v>31</v>
      </c>
      <c r="J54" s="322"/>
      <c r="K54" s="76"/>
      <c r="L54" s="32"/>
      <c r="M54" s="32"/>
      <c r="N54" s="32"/>
      <c r="O54" s="39"/>
      <c r="P54" s="323" t="s">
        <v>30</v>
      </c>
      <c r="Q54" s="405" t="s">
        <v>28</v>
      </c>
      <c r="R54" s="406" t="s">
        <v>31</v>
      </c>
      <c r="S54" s="405" t="s">
        <v>21</v>
      </c>
      <c r="T54" s="406" t="s">
        <v>31</v>
      </c>
      <c r="U54" s="323" t="s">
        <v>77</v>
      </c>
      <c r="V54" s="407" t="s">
        <v>22</v>
      </c>
      <c r="W54" s="406" t="s">
        <v>31</v>
      </c>
      <c r="X54" s="322"/>
      <c r="Y54" s="76"/>
      <c r="AA54" s="32"/>
      <c r="AB54" s="32"/>
      <c r="AC54" s="39"/>
      <c r="AD54" s="323" t="s">
        <v>30</v>
      </c>
      <c r="AE54" s="405" t="s">
        <v>28</v>
      </c>
      <c r="AF54" s="406" t="s">
        <v>31</v>
      </c>
      <c r="AG54" s="405" t="s">
        <v>21</v>
      </c>
      <c r="AH54" s="406" t="s">
        <v>31</v>
      </c>
      <c r="AI54" s="323" t="s">
        <v>77</v>
      </c>
      <c r="AJ54" s="407" t="s">
        <v>22</v>
      </c>
      <c r="AK54" s="406" t="s">
        <v>31</v>
      </c>
      <c r="AL54" s="322"/>
      <c r="AM54" s="76"/>
      <c r="AO54" s="32"/>
      <c r="AQ54" s="39"/>
      <c r="AR54" s="408" t="s">
        <v>30</v>
      </c>
      <c r="AS54" s="405" t="s">
        <v>28</v>
      </c>
      <c r="AT54" s="406" t="s">
        <v>31</v>
      </c>
      <c r="AU54" s="405" t="s">
        <v>21</v>
      </c>
      <c r="AV54" s="406" t="s">
        <v>31</v>
      </c>
      <c r="AW54" s="323" t="s">
        <v>77</v>
      </c>
      <c r="AX54" s="407" t="s">
        <v>22</v>
      </c>
      <c r="AY54" s="406" t="s">
        <v>31</v>
      </c>
      <c r="AZ54" s="322"/>
      <c r="BA54" s="322"/>
      <c r="BB54" s="39"/>
      <c r="BC54" s="842" t="s">
        <v>170</v>
      </c>
      <c r="BD54" s="842"/>
      <c r="BE54" s="841" t="s">
        <v>178</v>
      </c>
      <c r="BF54" s="841"/>
      <c r="BG54" s="841"/>
      <c r="BH54" s="841"/>
      <c r="BI54" s="328"/>
      <c r="BJ54" s="841" t="s">
        <v>123</v>
      </c>
      <c r="BK54" s="841"/>
      <c r="BL54" s="754" t="s">
        <v>177</v>
      </c>
      <c r="BM54" s="755"/>
      <c r="BN54" s="755"/>
      <c r="BO54" s="756"/>
      <c r="BP54" s="39"/>
      <c r="BQ54" s="39"/>
      <c r="BR54" s="39"/>
      <c r="BS54" s="39"/>
      <c r="BU54" s="39"/>
      <c r="BV54" s="39"/>
      <c r="BW54" s="39"/>
      <c r="BX54" s="39"/>
      <c r="BY54" s="39"/>
      <c r="BZ54" s="39"/>
      <c r="CA54" s="39"/>
      <c r="CB54" s="39"/>
      <c r="CC54" s="39"/>
      <c r="CD54" s="39"/>
      <c r="CE54" s="39"/>
    </row>
    <row r="55" spans="1:83" ht="18" customHeight="1">
      <c r="A55" s="400"/>
      <c r="B55" s="329" t="s">
        <v>106</v>
      </c>
      <c r="C55" s="409">
        <f>IF(ISERROR(D39*10000/G8),0,(D39*10000/G8))</f>
        <v>400</v>
      </c>
      <c r="D55" s="410">
        <f>IF(ISERROR(C55/C57),0,(C55/C57))</f>
        <v>0.5</v>
      </c>
      <c r="E55" s="331">
        <f>IF(ISERROR(I39*10000/G8),0,(I39*10000/G8))</f>
        <v>53.52820799999999</v>
      </c>
      <c r="F55" s="410">
        <f>IF(ISERROR(E55/E57),0,(E55/E57))</f>
        <v>0.7304712795684584</v>
      </c>
      <c r="G55" s="411">
        <f>IF(ISERROR((10000/C55)^(1/2)/D45),0,((10000/C55)^(1/2)/D45))</f>
        <v>0.20283975659229211</v>
      </c>
      <c r="H55" s="412">
        <f>IF(ISERROR(H39*10000/G8),0,(H39*10000/G8))</f>
        <v>531.4467787742615</v>
      </c>
      <c r="I55" s="410">
        <f>IF(ISERROR(H55/H57),0,(H55/H57))</f>
        <v>0.7148153213916781</v>
      </c>
      <c r="J55" s="78"/>
      <c r="K55" s="77"/>
      <c r="L55" s="32"/>
      <c r="M55" s="32"/>
      <c r="N55" s="32"/>
      <c r="O55" s="400"/>
      <c r="P55" s="329" t="s">
        <v>106</v>
      </c>
      <c r="Q55" s="409">
        <f>IF(ISERROR(R39*10000/U8),0,(R39*10000/U8))</f>
        <v>500</v>
      </c>
      <c r="R55" s="410">
        <f>IF(ISERROR(Q55/Q57),0,(Q55/Q57))</f>
        <v>0.5555555555555556</v>
      </c>
      <c r="S55" s="331">
        <f>IF(ISERROR(W39*10000/U8),0,(W39*10000/U8))</f>
        <v>52.697756500000004</v>
      </c>
      <c r="T55" s="410">
        <f>IF(ISERROR(S55/S57),0,(S55/S57))</f>
        <v>0.7199290483133155</v>
      </c>
      <c r="U55" s="411">
        <f>IF(ISERROR((10000/Q55)^(1/2)/R45),0,((10000/Q55)^(1/2)/R45))</f>
        <v>0.17676426699603082</v>
      </c>
      <c r="V55" s="412">
        <f>IF(ISERROR(V39*10000/U8),0,(V39*10000/U8))</f>
        <v>500.6708472967148</v>
      </c>
      <c r="W55" s="410">
        <f>IF(ISERROR(V55/V57),0,(V55/V57))</f>
        <v>0.7037956532510986</v>
      </c>
      <c r="X55" s="78"/>
      <c r="Y55" s="77"/>
      <c r="AA55" s="32"/>
      <c r="AB55" s="32"/>
      <c r="AC55" s="400"/>
      <c r="AD55" s="329" t="s">
        <v>106</v>
      </c>
      <c r="AE55" s="409">
        <f>IF(ISERROR(AF39*10000/AI8),0,(AF39*10000/AI8))</f>
        <v>0</v>
      </c>
      <c r="AF55" s="410">
        <f>IF(ISERROR(AE55/AE57),0,(AE55/AE57))</f>
        <v>0</v>
      </c>
      <c r="AG55" s="331">
        <f>IF(ISERROR(AK39*10000/AI8),0,(AK39*10000/AI8))</f>
        <v>0</v>
      </c>
      <c r="AH55" s="410">
        <f>IF(ISERROR(AG55/AG57),0,(AG55/AG57))</f>
        <v>0</v>
      </c>
      <c r="AI55" s="411">
        <f>IF(ISERROR((10000/AE55)^(1/2)/AF45),0,((10000/AE55)^(1/2)/AF45))</f>
        <v>0</v>
      </c>
      <c r="AJ55" s="412">
        <f>IF(ISERROR(AJ39*10000/AI8),0,(AJ39*10000/AI8))</f>
        <v>0</v>
      </c>
      <c r="AK55" s="410">
        <f>IF(ISERROR(AJ55/AJ57),0,(AJ55/AJ57))</f>
        <v>0</v>
      </c>
      <c r="AL55" s="78"/>
      <c r="AM55" s="77"/>
      <c r="AO55" s="32"/>
      <c r="AQ55" s="400"/>
      <c r="AR55" s="329" t="s">
        <v>106</v>
      </c>
      <c r="AS55" s="413">
        <f>IF(ISERROR(AS39*10000/AW8),0,(AS39*10000/AW8))</f>
        <v>450</v>
      </c>
      <c r="AT55" s="410">
        <f>IF(ISERROR(AS55/AS57),0,(AS55/AS57))</f>
        <v>0.5294117647058824</v>
      </c>
      <c r="AU55" s="331">
        <f>IF(ISERROR(AY39*10000/AW8),0,(AY39*10000/AW8))</f>
        <v>53.11298225</v>
      </c>
      <c r="AV55" s="410">
        <f>IF(ISERROR(AU55/AU57),0,(AU55/AU57))</f>
        <v>0.7252030594504907</v>
      </c>
      <c r="AW55" s="411">
        <f>IF(ISERROR(((10000/AS55)^(1/2))/AT45),0,(((10000/AS55)^(1/2))/AT45))</f>
        <v>0.18957286358888675</v>
      </c>
      <c r="AX55" s="412">
        <f>IF(ISERROR(AX39*10000/AW8),0,(AX39*10000/AW8))</f>
        <v>516.0588130354881</v>
      </c>
      <c r="AY55" s="410">
        <f>IF(ISERROR(AX55/AX57),0,(AX55/AX57))</f>
        <v>0.7094270090305056</v>
      </c>
      <c r="AZ55" s="78"/>
      <c r="BA55" s="78"/>
      <c r="BB55" s="400"/>
      <c r="BC55" s="842"/>
      <c r="BD55" s="842"/>
      <c r="BE55" s="841" t="s">
        <v>121</v>
      </c>
      <c r="BF55" s="841"/>
      <c r="BG55" s="841" t="s">
        <v>122</v>
      </c>
      <c r="BH55" s="841"/>
      <c r="BI55" s="245"/>
      <c r="BJ55" s="841"/>
      <c r="BK55" s="841"/>
      <c r="BL55" s="841" t="s">
        <v>121</v>
      </c>
      <c r="BM55" s="841"/>
      <c r="BN55" s="841" t="s">
        <v>122</v>
      </c>
      <c r="BO55" s="841"/>
      <c r="BS55" s="39"/>
      <c r="BU55" s="39"/>
      <c r="BV55" s="39"/>
      <c r="BW55" s="39"/>
      <c r="BX55" s="39"/>
      <c r="BY55" s="39"/>
      <c r="BZ55" s="39"/>
      <c r="CA55" s="39"/>
      <c r="CB55" s="39"/>
      <c r="CC55" s="39"/>
      <c r="CD55" s="39"/>
      <c r="CE55" s="39"/>
    </row>
    <row r="56" spans="1:83" ht="18" customHeight="1" thickBot="1">
      <c r="A56" s="414"/>
      <c r="B56" s="343" t="s">
        <v>107</v>
      </c>
      <c r="C56" s="415">
        <f>IF(ISERROR(D40*10000/G8),0,(D40*10000/G8))</f>
        <v>400</v>
      </c>
      <c r="D56" s="416">
        <f>IF(ISERROR(C56/C57),0,(C56/C57))</f>
        <v>0.5</v>
      </c>
      <c r="E56" s="345">
        <f>IF(ISERROR(I40*10000/G8),0,(I40*10000/G8))</f>
        <v>19.750796249999997</v>
      </c>
      <c r="F56" s="416">
        <f>IF(ISERROR(E56/E57),0,(E56/E57))</f>
        <v>0.26952872043154164</v>
      </c>
      <c r="G56" s="417">
        <f>IF(ISERROR((10000/C56)^(1/2)/D46),0,((10000/C56)^(1/2)/D46))</f>
        <v>0.22727272727272727</v>
      </c>
      <c r="H56" s="418">
        <f>IF(ISERROR(H40*10000/G8),0,(H40*10000/G8))</f>
        <v>212.02746257185936</v>
      </c>
      <c r="I56" s="416">
        <f>IF(ISERROR(H56/H57),0,(H56/H57))</f>
        <v>0.2851846786083218</v>
      </c>
      <c r="J56" s="78"/>
      <c r="K56" s="79"/>
      <c r="L56" s="32"/>
      <c r="M56" s="32"/>
      <c r="N56" s="32"/>
      <c r="O56" s="414"/>
      <c r="P56" s="343" t="s">
        <v>107</v>
      </c>
      <c r="Q56" s="415">
        <f>IF(ISERROR(R40*10000/U8),0,(R40*10000/U8))</f>
        <v>400</v>
      </c>
      <c r="R56" s="416">
        <f>IF(ISERROR(Q56/Q57),0,(Q56/Q57))</f>
        <v>0.4444444444444444</v>
      </c>
      <c r="S56" s="345">
        <f>IF(ISERROR(W40*10000/U8),0,(W40*10000/U8))</f>
        <v>20.500785250000003</v>
      </c>
      <c r="T56" s="416">
        <f>IF(ISERROR(S56/S57),0,(S56/S57))</f>
        <v>0.2800709516866844</v>
      </c>
      <c r="U56" s="417">
        <f>IF(ISERROR((10000/Q56)^(1/2)/R46),0,((10000/Q56)^(1/2)/R46))</f>
        <v>0.2421307506053269</v>
      </c>
      <c r="V56" s="418">
        <f>IF(ISERROR(V40*10000/U8),0,(V40*10000/U8))</f>
        <v>210.71582436561584</v>
      </c>
      <c r="W56" s="416">
        <f>IF(ISERROR(V56/V57),0,(V56/V57))</f>
        <v>0.2962043467489014</v>
      </c>
      <c r="X56" s="78"/>
      <c r="Y56" s="79"/>
      <c r="AA56" s="32"/>
      <c r="AB56" s="32"/>
      <c r="AC56" s="414"/>
      <c r="AD56" s="343" t="s">
        <v>107</v>
      </c>
      <c r="AE56" s="415">
        <f>IF(ISERROR(AF40*10000/AI8),0,(AF40*10000/AI8))</f>
        <v>0</v>
      </c>
      <c r="AF56" s="416">
        <f>IF(ISERROR(AE56/AE57),0,(AE56/AE57))</f>
        <v>0</v>
      </c>
      <c r="AG56" s="345">
        <f>IF(ISERROR(AK40*10000/AI8),0,(AK40*10000/AI8))</f>
        <v>0</v>
      </c>
      <c r="AH56" s="416">
        <f>IF(ISERROR(AG56/AG57),0,(AG56/AG57))</f>
        <v>0</v>
      </c>
      <c r="AI56" s="417">
        <f>IF(ISERROR((10000/AE56)^(1/2)/AF46),0,((10000/AE56)^(1/2)/AF46))</f>
        <v>0</v>
      </c>
      <c r="AJ56" s="418">
        <f>IF(ISERROR(AJ40*10000/AI8),0,(AJ40*10000/AI8))</f>
        <v>0</v>
      </c>
      <c r="AK56" s="416">
        <f>IF(ISERROR(AJ56/AJ57),0,(AJ56/AJ57))</f>
        <v>0</v>
      </c>
      <c r="AL56" s="78"/>
      <c r="AM56" s="79"/>
      <c r="AO56" s="32"/>
      <c r="AQ56" s="414"/>
      <c r="AR56" s="343" t="s">
        <v>107</v>
      </c>
      <c r="AS56" s="415">
        <f>IF(ISERROR(AS40*10000/AW8),0,(AS40*10000/AW8))</f>
        <v>400</v>
      </c>
      <c r="AT56" s="416">
        <f>IF(ISERROR(AS56/AS57),0,(AS56/AS57))</f>
        <v>0.47058823529411764</v>
      </c>
      <c r="AU56" s="345">
        <f>IF(ISERROR(AY40*10000/AW8),0,(AY40*10000/AW8))</f>
        <v>20.12579075</v>
      </c>
      <c r="AV56" s="416">
        <f>IF(ISERROR(AU56/AU57),0,(AU56/AU57))</f>
        <v>0.27479694054950915</v>
      </c>
      <c r="AW56" s="417">
        <f>IF(ISERROR((10000/AS56)^(1/2)/AT46),0,((10000/AS56)^(1/2)/AT46))</f>
        <v>0.23446658851113716</v>
      </c>
      <c r="AX56" s="418">
        <f>IF(ISERROR(AX40*10000/AW8),0,(AX40*10000/AW8))</f>
        <v>211.3716434687376</v>
      </c>
      <c r="AY56" s="416">
        <f>IF(ISERROR(AX56/AX57),0,(AX56/AX57))</f>
        <v>0.29057299096949446</v>
      </c>
      <c r="AZ56" s="78"/>
      <c r="BA56" s="78"/>
      <c r="BB56" s="414"/>
      <c r="BC56" s="846" t="s">
        <v>120</v>
      </c>
      <c r="BD56" s="846"/>
      <c r="BE56" s="419">
        <v>6</v>
      </c>
      <c r="BF56" s="420">
        <v>10</v>
      </c>
      <c r="BG56" s="421">
        <v>5</v>
      </c>
      <c r="BH56" s="420">
        <v>8</v>
      </c>
      <c r="BI56" s="245"/>
      <c r="BJ56" s="845" t="s">
        <v>124</v>
      </c>
      <c r="BK56" s="845"/>
      <c r="BL56" s="421">
        <v>3</v>
      </c>
      <c r="BM56" s="422">
        <v>6</v>
      </c>
      <c r="BN56" s="421">
        <v>3</v>
      </c>
      <c r="BO56" s="423">
        <v>5</v>
      </c>
      <c r="BP56" s="414"/>
      <c r="BQ56" s="414"/>
      <c r="BR56" s="414"/>
      <c r="BS56" s="245"/>
      <c r="BU56" s="424" t="s">
        <v>189</v>
      </c>
      <c r="BV56" s="39"/>
      <c r="BW56" s="39"/>
      <c r="BX56" s="39"/>
      <c r="BY56" s="39"/>
      <c r="BZ56" s="39"/>
      <c r="CC56" s="39"/>
      <c r="CD56" s="39"/>
      <c r="CE56" s="245"/>
    </row>
    <row r="57" spans="2:73" ht="18" customHeight="1">
      <c r="B57" s="350" t="s">
        <v>75</v>
      </c>
      <c r="C57" s="425">
        <f>IF(ISERROR(D36/G8*10000),0,(D36/G8*10000))</f>
        <v>800</v>
      </c>
      <c r="D57" s="426">
        <f>IF(ISERROR(SUM(D55:D56)),0,(SUM(D55:D56)))</f>
        <v>1</v>
      </c>
      <c r="E57" s="352">
        <f>IF(ISERROR(I36/G8*10000),0,(I36/G8*10000))</f>
        <v>73.27900424999999</v>
      </c>
      <c r="F57" s="426">
        <f>IF(ISERROR(SUM(F55:F56)),0,(SUM(F55:F56)))</f>
        <v>1</v>
      </c>
      <c r="G57" s="427">
        <f>IF(ISERROR((10000/C57)^(1/2)/D47),0,((10000/C57)^(1/2)/D47))</f>
        <v>0.15157701633152146</v>
      </c>
      <c r="H57" s="428">
        <f>IF(ISERROR(H36/G8*10000),0,(H36/G8*10000))</f>
        <v>743.4742413461208</v>
      </c>
      <c r="I57" s="426">
        <f>IF(ISERROR(SUM(I55:I56)),0,(SUM(I55:I56)))</f>
        <v>1</v>
      </c>
      <c r="J57" s="314"/>
      <c r="K57" s="72"/>
      <c r="L57" s="32"/>
      <c r="M57" s="32"/>
      <c r="N57" s="32"/>
      <c r="P57" s="350" t="s">
        <v>75</v>
      </c>
      <c r="Q57" s="425">
        <f>IF(ISERROR(R36/U8*10000),0,(R36/U8*10000))</f>
        <v>900</v>
      </c>
      <c r="R57" s="426">
        <f>IF(ISERROR(SUM(R55:R56)),0,(SUM(R55:R56)))</f>
        <v>1</v>
      </c>
      <c r="S57" s="352">
        <f>IF(ISERROR(W36/U8*10000),0,(W36/U8*10000))</f>
        <v>73.19854175000002</v>
      </c>
      <c r="T57" s="426">
        <f>IF(ISERROR(SUM(T55:T56)),0,(SUM(T55:T56)))</f>
        <v>0.9999999999999999</v>
      </c>
      <c r="U57" s="427">
        <f>IF(ISERROR((10000/Q57)^(1/2)/R47),0,((10000/Q57)^(1/2)/R47))</f>
        <v>0.15015015015015015</v>
      </c>
      <c r="V57" s="428">
        <f>IF(ISERROR(V36/U8*10000),0,(V36/U8*10000))</f>
        <v>711.3866716623306</v>
      </c>
      <c r="W57" s="426">
        <f>IF(ISERROR(SUM(W55:W56)),0,(SUM(W55:W56)))</f>
        <v>1</v>
      </c>
      <c r="X57" s="314"/>
      <c r="Y57" s="72"/>
      <c r="AA57" s="32"/>
      <c r="AB57" s="32"/>
      <c r="AD57" s="350" t="s">
        <v>75</v>
      </c>
      <c r="AE57" s="425">
        <f>IF(ISERROR(AF36/AI8*10000),0,(AF36/AI8*10000))</f>
        <v>0</v>
      </c>
      <c r="AF57" s="426">
        <f>IF(ISERROR(SUM(AF55:AF56)),0,(SUM(AF55:AF56)))</f>
        <v>0</v>
      </c>
      <c r="AG57" s="352">
        <f>IF(ISERROR(AK36/AI8*10000),0,(AK36/AI8*10000))</f>
        <v>0</v>
      </c>
      <c r="AH57" s="426">
        <f>IF(ISERROR(SUM(AH55:AH56)),0,(SUM(AH55:AH56)))</f>
        <v>0</v>
      </c>
      <c r="AI57" s="427">
        <f>IF(ISERROR((10000/AE57)^(1/2)/AF47),0,((10000/AE57)^(1/2)/AF47))</f>
        <v>0</v>
      </c>
      <c r="AJ57" s="428">
        <f>IF(ISERROR(AJ36/AI8*10000),0,(AJ36/AI8*10000))</f>
        <v>0</v>
      </c>
      <c r="AK57" s="426">
        <f>IF(ISERROR(SUM(AK55:AK56)),0,(SUM(AK55:AK56)))</f>
        <v>0</v>
      </c>
      <c r="AL57" s="314"/>
      <c r="AM57" s="72"/>
      <c r="AO57" s="32"/>
      <c r="AR57" s="356" t="s">
        <v>75</v>
      </c>
      <c r="AS57" s="429">
        <f>SUM(AS55:AS56)</f>
        <v>850</v>
      </c>
      <c r="AT57" s="430">
        <f aca="true" t="shared" si="21" ref="AT57:AY57">SUM(AT55:AT56)</f>
        <v>1</v>
      </c>
      <c r="AU57" s="431">
        <f>SUM(AU55:AU56)</f>
        <v>73.23877300000001</v>
      </c>
      <c r="AV57" s="430">
        <f t="shared" si="21"/>
        <v>0.9999999999999998</v>
      </c>
      <c r="AW57" s="427">
        <f>IF(ISERROR((10000/AS57)^(1/2)/AT47),0,((10000/AS57)^(1/2)/AT47))</f>
        <v>0.1501551089427845</v>
      </c>
      <c r="AX57" s="432">
        <f t="shared" si="21"/>
        <v>727.4304565042257</v>
      </c>
      <c r="AY57" s="430">
        <f t="shared" si="21"/>
        <v>1</v>
      </c>
      <c r="AZ57" s="314"/>
      <c r="BA57" s="314"/>
      <c r="BC57" s="846" t="s">
        <v>171</v>
      </c>
      <c r="BD57" s="846"/>
      <c r="BE57" s="419">
        <v>5</v>
      </c>
      <c r="BF57" s="420">
        <v>9</v>
      </c>
      <c r="BG57" s="421">
        <v>4</v>
      </c>
      <c r="BH57" s="420">
        <v>7</v>
      </c>
      <c r="BI57" s="245"/>
      <c r="BJ57" s="845" t="s">
        <v>125</v>
      </c>
      <c r="BK57" s="845"/>
      <c r="BL57" s="433">
        <v>2.5</v>
      </c>
      <c r="BM57" s="422">
        <v>5</v>
      </c>
      <c r="BN57" s="421">
        <v>2</v>
      </c>
      <c r="BO57" s="423">
        <v>4</v>
      </c>
      <c r="BU57" s="434" t="s">
        <v>242</v>
      </c>
    </row>
    <row r="58" spans="2:67" ht="18" customHeight="1">
      <c r="B58" s="364" t="s">
        <v>134</v>
      </c>
      <c r="C58" s="435">
        <f>IF(ISERROR(D41*10000/G8),0,(D41*10000/G8))</f>
        <v>400</v>
      </c>
      <c r="D58" s="436">
        <f>IF(ISERROR(C58/C57),0,(C58/C57))</f>
        <v>0.5</v>
      </c>
      <c r="E58" s="366">
        <f>IF(ISERROR(I41*10000/G8),0,(I41*10000/G8))</f>
        <v>20.399834249999998</v>
      </c>
      <c r="F58" s="436">
        <f>IF(ISERROR(E58/E57),0,(E58/E57))</f>
        <v>0.2783858003911127</v>
      </c>
      <c r="G58" s="437" t="s">
        <v>23</v>
      </c>
      <c r="H58" s="438">
        <f>IF(ISERROR(H41*10000/G8),0,(H41*10000/G8))</f>
        <v>218.0987410247326</v>
      </c>
      <c r="I58" s="436">
        <f>IF(ISERROR(H58/H57),0,(H58/H57))</f>
        <v>0.29335076979916214</v>
      </c>
      <c r="J58" s="439"/>
      <c r="K58" s="72"/>
      <c r="L58" s="32"/>
      <c r="M58" s="32"/>
      <c r="N58" s="32"/>
      <c r="P58" s="364" t="s">
        <v>134</v>
      </c>
      <c r="Q58" s="435">
        <f>IF(ISERROR(R41*10000/U8),0,(R41*10000/U8))</f>
        <v>450</v>
      </c>
      <c r="R58" s="436">
        <f>IF(ISERROR(Q58/Q57),0,(Q58/Q57))</f>
        <v>0.5</v>
      </c>
      <c r="S58" s="366">
        <f>IF(ISERROR(W41*10000/U8),0,(W41*10000/U8))</f>
        <v>27.019778499999997</v>
      </c>
      <c r="T58" s="436">
        <f>IF(ISERROR(S58/S57),0,(S58/S57))</f>
        <v>0.36913001070817086</v>
      </c>
      <c r="U58" s="437" t="s">
        <v>23</v>
      </c>
      <c r="V58" s="438">
        <f>IF(ISERROR(V41*10000/U8),0,(V41*10000/U8))</f>
        <v>272.0012843608856</v>
      </c>
      <c r="W58" s="436">
        <f>IF(ISERROR(V58/V57),0,(V58/V57))</f>
        <v>0.38235364141035627</v>
      </c>
      <c r="X58" s="439"/>
      <c r="Y58" s="72"/>
      <c r="AA58" s="32"/>
      <c r="AB58" s="32"/>
      <c r="AD58" s="364" t="s">
        <v>134</v>
      </c>
      <c r="AE58" s="435">
        <f>IF(ISERROR(AF41*10000/AI8),0,(AF41*10000/AI8))</f>
        <v>0</v>
      </c>
      <c r="AF58" s="436">
        <f>IF(ISERROR(AE58/AE57),0,(AE58/AE57))</f>
        <v>0</v>
      </c>
      <c r="AG58" s="366">
        <f>IF(ISERROR(AK41*10000/AI8),0,(AK41*10000/AI8))</f>
        <v>0</v>
      </c>
      <c r="AH58" s="436">
        <f>IF(ISERROR(AG58/AG57),0,(AG58/AG57))</f>
        <v>0</v>
      </c>
      <c r="AI58" s="437" t="s">
        <v>23</v>
      </c>
      <c r="AJ58" s="438">
        <f>IF(ISERROR(AJ41*10000/AI8),0,(AJ41*10000/AI8))</f>
        <v>0</v>
      </c>
      <c r="AK58" s="436">
        <f>IF(ISERROR(AJ58/AJ57),0,(AJ58/AJ57))</f>
        <v>0</v>
      </c>
      <c r="AL58" s="439"/>
      <c r="AM58" s="72"/>
      <c r="AO58" s="32"/>
      <c r="AR58" s="370" t="s">
        <v>134</v>
      </c>
      <c r="AS58" s="440">
        <f>IF(ISERROR(AS41*10000/AW8),0,(AS41*10000/AW8))</f>
        <v>425</v>
      </c>
      <c r="AT58" s="441">
        <f>IF(ISERROR(AS58/AS57),0,(AS58/AS57))</f>
        <v>0.5</v>
      </c>
      <c r="AU58" s="442">
        <f>IF(ISERROR(AY41*10000/AW8),0,(AY41*10000/AW8))</f>
        <v>23.709806375</v>
      </c>
      <c r="AV58" s="441">
        <f>IF(ISERROR(AU58/AU57),0,(AU58/AU57))</f>
        <v>0.3237329819138286</v>
      </c>
      <c r="AW58" s="437" t="s">
        <v>23</v>
      </c>
      <c r="AX58" s="443">
        <f>IF(ISERROR(AX41*10000/AW8),0,(AX41*10000/AW8))</f>
        <v>245.0500126928091</v>
      </c>
      <c r="AY58" s="441">
        <f>IF(ISERROR(AX58/AX57),0,AX58/AX57)</f>
        <v>0.3368707077105804</v>
      </c>
      <c r="AZ58" s="444"/>
      <c r="BA58" s="439"/>
      <c r="BC58" s="846" t="s">
        <v>172</v>
      </c>
      <c r="BD58" s="846"/>
      <c r="BE58" s="419">
        <v>4</v>
      </c>
      <c r="BF58" s="420">
        <v>8</v>
      </c>
      <c r="BG58" s="421">
        <v>3</v>
      </c>
      <c r="BH58" s="420">
        <v>6</v>
      </c>
      <c r="BI58" s="245"/>
      <c r="BJ58" s="845" t="s">
        <v>127</v>
      </c>
      <c r="BK58" s="845"/>
      <c r="BL58" s="421">
        <v>2</v>
      </c>
      <c r="BM58" s="422">
        <v>4</v>
      </c>
      <c r="BN58" s="421">
        <v>1</v>
      </c>
      <c r="BO58" s="423">
        <v>2</v>
      </c>
    </row>
    <row r="59" spans="2:80" ht="18" customHeight="1" thickBot="1">
      <c r="B59" s="374" t="s">
        <v>68</v>
      </c>
      <c r="C59" s="445">
        <f>C57-C58</f>
        <v>400</v>
      </c>
      <c r="D59" s="446">
        <f>IF(ISERROR(D57-D58),0,(D57-D58))</f>
        <v>0.5</v>
      </c>
      <c r="E59" s="447">
        <f>E57-E58</f>
        <v>52.87916999999999</v>
      </c>
      <c r="F59" s="446">
        <f>IF(ISERROR(F57-F58),0,(F57-F58))</f>
        <v>0.7216141996088873</v>
      </c>
      <c r="G59" s="448">
        <f>IF(ISERROR((10000/C59)^(1/2)/D49),0,((10000/C59)^(1/2)/D49))</f>
        <v>0.20283975659229211</v>
      </c>
      <c r="H59" s="449">
        <f>H57-H58</f>
        <v>525.3755003213882</v>
      </c>
      <c r="I59" s="446">
        <f>IF(ISERROR(I57-I58),0,(I57-I58))</f>
        <v>0.7066492302008378</v>
      </c>
      <c r="J59" s="439"/>
      <c r="K59" s="72"/>
      <c r="L59" s="32"/>
      <c r="M59" s="32"/>
      <c r="N59" s="32"/>
      <c r="P59" s="374" t="s">
        <v>68</v>
      </c>
      <c r="Q59" s="445">
        <f>Q57-Q58</f>
        <v>450</v>
      </c>
      <c r="R59" s="446">
        <f>IF(ISERROR(R57-R58),0,(R57-R58))</f>
        <v>0.5</v>
      </c>
      <c r="S59" s="447">
        <f>S57-S58</f>
        <v>46.17876325000002</v>
      </c>
      <c r="T59" s="446">
        <f>IF(ISERROR(T57-T58),0,(T57-T58))</f>
        <v>0.630869989291829</v>
      </c>
      <c r="U59" s="448">
        <f>IF(ISERROR((10000/Q59)^(1/2)/R49),0,((10000/Q59)^(1/2)/R49))</f>
        <v>0.20319160378923784</v>
      </c>
      <c r="V59" s="449">
        <f>V57-V58</f>
        <v>439.385387301445</v>
      </c>
      <c r="W59" s="446">
        <f>IF(ISERROR(W57-W58),0,(W57-W58))</f>
        <v>0.6176463585896437</v>
      </c>
      <c r="X59" s="439"/>
      <c r="Y59" s="72"/>
      <c r="AA59" s="32"/>
      <c r="AB59" s="32"/>
      <c r="AD59" s="374" t="s">
        <v>68</v>
      </c>
      <c r="AE59" s="445">
        <f>AE57-AE58</f>
        <v>0</v>
      </c>
      <c r="AF59" s="446">
        <f>IF(ISERROR(AF57-AF58),0,(AF57-AF58))</f>
        <v>0</v>
      </c>
      <c r="AG59" s="447">
        <f>AG57-AG58</f>
        <v>0</v>
      </c>
      <c r="AH59" s="446">
        <f>IF(ISERROR(AH57-AH58),0,(AH57-AH58))</f>
        <v>0</v>
      </c>
      <c r="AI59" s="448">
        <f>IF(ISERROR((10000/AE59)^(1/2)/AF49),0,((10000/AE59)^(1/2)/AF49))</f>
        <v>0</v>
      </c>
      <c r="AJ59" s="449">
        <f>AJ57-AJ58</f>
        <v>0</v>
      </c>
      <c r="AK59" s="446">
        <f>IF(ISERROR(AK57-AK58),0,(AK57-AK58))</f>
        <v>0</v>
      </c>
      <c r="AL59" s="439"/>
      <c r="AM59" s="72"/>
      <c r="AO59" s="32"/>
      <c r="AR59" s="380" t="s">
        <v>68</v>
      </c>
      <c r="AS59" s="450">
        <f>AS57-AS58</f>
        <v>425</v>
      </c>
      <c r="AT59" s="451">
        <f>IF(ISERROR(AT57-AT58),0,(AT57-AT58))</f>
        <v>0.5</v>
      </c>
      <c r="AU59" s="452">
        <f>AU57-AU58</f>
        <v>49.52896662500001</v>
      </c>
      <c r="AV59" s="451">
        <f>IF(ISERROR(AV57-AV58),0,(AV57-AV58))</f>
        <v>0.6762670180861712</v>
      </c>
      <c r="AW59" s="448">
        <f>IF(ISERROR((10000/AS59)^(1/2)/AT49),0,((10000/AS59)^(1/2)/AT49))</f>
        <v>0.20274660400111436</v>
      </c>
      <c r="AX59" s="449">
        <f>AX57-AX58</f>
        <v>482.3804438114166</v>
      </c>
      <c r="AY59" s="453">
        <f>IF(ISERROR(AY57-AY58),0,(AY57-AY58))</f>
        <v>0.6631292922894196</v>
      </c>
      <c r="AZ59" s="444"/>
      <c r="BA59" s="439"/>
      <c r="BC59" s="846" t="s">
        <v>173</v>
      </c>
      <c r="BD59" s="846"/>
      <c r="BE59" s="419">
        <v>3</v>
      </c>
      <c r="BF59" s="420">
        <v>7</v>
      </c>
      <c r="BG59" s="421">
        <v>2</v>
      </c>
      <c r="BH59" s="420">
        <v>5</v>
      </c>
      <c r="BI59" s="245"/>
      <c r="BJ59" s="845" t="s">
        <v>126</v>
      </c>
      <c r="BK59" s="845"/>
      <c r="BL59" s="433">
        <v>1.5</v>
      </c>
      <c r="BM59" s="422">
        <v>3</v>
      </c>
      <c r="BN59" s="433">
        <v>0.5</v>
      </c>
      <c r="BO59" s="423">
        <v>1</v>
      </c>
      <c r="BU59" s="454"/>
      <c r="BV59" s="455"/>
      <c r="BW59" s="456" t="s">
        <v>96</v>
      </c>
      <c r="BX59" s="457" t="s">
        <v>97</v>
      </c>
      <c r="BY59" s="457" t="s">
        <v>108</v>
      </c>
      <c r="BZ59" s="458" t="s">
        <v>113</v>
      </c>
      <c r="CA59" s="459" t="s">
        <v>2</v>
      </c>
      <c r="CB59" s="457" t="s">
        <v>101</v>
      </c>
    </row>
    <row r="60" spans="2:80" ht="18" customHeight="1">
      <c r="B60" s="881" t="s">
        <v>76</v>
      </c>
      <c r="C60" s="460">
        <f>IF(ISERROR(E$60/(C$49/2)^2*PI()*1000),0,(E$60/(C$49/2)^2*PI()*1000))</f>
        <v>263.3135691421698</v>
      </c>
      <c r="D60" s="885" t="s">
        <v>23</v>
      </c>
      <c r="E60" s="461">
        <f>$BF$16*0.38</f>
        <v>34.2</v>
      </c>
      <c r="F60" s="885" t="s">
        <v>23</v>
      </c>
      <c r="G60" s="462">
        <v>0.175</v>
      </c>
      <c r="H60" s="463"/>
      <c r="I60" s="885" t="s">
        <v>23</v>
      </c>
      <c r="J60" s="439"/>
      <c r="K60" s="72"/>
      <c r="L60" s="32"/>
      <c r="M60" s="32"/>
      <c r="N60" s="32"/>
      <c r="P60" s="881" t="s">
        <v>76</v>
      </c>
      <c r="Q60" s="460">
        <f>IF(ISERROR(S$60/(Q$49/2)^2*PI()*1000),0,(S$60/(Q$49/2)^2*PI()*1000))</f>
        <v>333.46255461323517</v>
      </c>
      <c r="R60" s="885" t="s">
        <v>23</v>
      </c>
      <c r="S60" s="461">
        <f>$BF$16*0.38</f>
        <v>34.2</v>
      </c>
      <c r="T60" s="885" t="s">
        <v>23</v>
      </c>
      <c r="U60" s="462">
        <v>0.175</v>
      </c>
      <c r="V60" s="463"/>
      <c r="W60" s="885" t="s">
        <v>23</v>
      </c>
      <c r="X60" s="439"/>
      <c r="Y60" s="72"/>
      <c r="AA60" s="32"/>
      <c r="AB60" s="32"/>
      <c r="AD60" s="881" t="s">
        <v>76</v>
      </c>
      <c r="AE60" s="460">
        <f>IF(ISERROR(AG$60/(AE$49/2)^2*PI()*1000),0,(AG$60/(AE$49/2)^2*PI()*1000))</f>
        <v>0</v>
      </c>
      <c r="AF60" s="885" t="s">
        <v>23</v>
      </c>
      <c r="AG60" s="461">
        <f>$BF$16*0.38</f>
        <v>34.2</v>
      </c>
      <c r="AH60" s="885" t="s">
        <v>23</v>
      </c>
      <c r="AI60" s="462">
        <v>0.175</v>
      </c>
      <c r="AJ60" s="463"/>
      <c r="AK60" s="885" t="s">
        <v>23</v>
      </c>
      <c r="AL60" s="439"/>
      <c r="AM60" s="72"/>
      <c r="AO60" s="32"/>
      <c r="AR60" s="881" t="s">
        <v>76</v>
      </c>
      <c r="AS60" s="464">
        <f>BH18</f>
        <v>301.2768456092261</v>
      </c>
      <c r="AT60" s="883" t="s">
        <v>23</v>
      </c>
      <c r="AU60" s="465">
        <f>$BF$16*0.38</f>
        <v>34.2</v>
      </c>
      <c r="AV60" s="883" t="s">
        <v>23</v>
      </c>
      <c r="AW60" s="462">
        <v>0.175</v>
      </c>
      <c r="AX60" s="463"/>
      <c r="AY60" s="885" t="s">
        <v>23</v>
      </c>
      <c r="AZ60" s="444"/>
      <c r="BA60" s="439"/>
      <c r="BC60" s="846" t="s">
        <v>174</v>
      </c>
      <c r="BD60" s="846"/>
      <c r="BE60" s="419">
        <v>2</v>
      </c>
      <c r="BF60" s="420">
        <v>6</v>
      </c>
      <c r="BG60" s="421">
        <v>2</v>
      </c>
      <c r="BH60" s="420">
        <v>4</v>
      </c>
      <c r="BI60" s="201"/>
      <c r="BJ60" s="845" t="s">
        <v>128</v>
      </c>
      <c r="BK60" s="845"/>
      <c r="BL60" s="421">
        <v>1</v>
      </c>
      <c r="BM60" s="422">
        <v>3</v>
      </c>
      <c r="BN60" s="433">
        <v>0.3</v>
      </c>
      <c r="BO60" s="423">
        <v>1</v>
      </c>
      <c r="BU60" s="879" t="s">
        <v>105</v>
      </c>
      <c r="BV60" s="880"/>
      <c r="BW60" s="466">
        <v>0.62</v>
      </c>
      <c r="BX60" s="466">
        <v>0.62</v>
      </c>
      <c r="BY60" s="466">
        <v>0.62</v>
      </c>
      <c r="BZ60" s="466">
        <v>0.62</v>
      </c>
      <c r="CA60" s="467">
        <v>0.62</v>
      </c>
      <c r="CB60" s="466">
        <v>0.62</v>
      </c>
    </row>
    <row r="61" spans="2:80" ht="18" customHeight="1" thickBot="1">
      <c r="B61" s="882"/>
      <c r="C61" s="468">
        <f>IF(ISERROR(E$61/(C$49/2)^2*PI()*1000),0,(E$61/(C$49/2)^2*PI()*1000))</f>
        <v>429.6168759688033</v>
      </c>
      <c r="D61" s="886"/>
      <c r="E61" s="469">
        <f>$BF$16*0.62</f>
        <v>55.8</v>
      </c>
      <c r="F61" s="886"/>
      <c r="G61" s="470">
        <v>0.225</v>
      </c>
      <c r="H61" s="471"/>
      <c r="I61" s="886"/>
      <c r="J61" s="472"/>
      <c r="K61" s="80"/>
      <c r="L61" s="32"/>
      <c r="M61" s="32"/>
      <c r="N61" s="32"/>
      <c r="P61" s="882"/>
      <c r="Q61" s="468">
        <f>IF(ISERROR(S$61/(Q$49/2)^2*PI()*1000),0,(S$61/(Q$49/2)^2*PI()*1000))</f>
        <v>544.0704838426468</v>
      </c>
      <c r="R61" s="886"/>
      <c r="S61" s="469">
        <f>$BF$16*0.62</f>
        <v>55.8</v>
      </c>
      <c r="T61" s="886"/>
      <c r="U61" s="470">
        <v>0.225</v>
      </c>
      <c r="V61" s="471"/>
      <c r="W61" s="886"/>
      <c r="X61" s="472"/>
      <c r="Y61" s="81"/>
      <c r="AA61" s="32"/>
      <c r="AB61" s="32"/>
      <c r="AD61" s="882"/>
      <c r="AE61" s="468">
        <f>IF(ISERROR(AG$61/(AE$49/2)^2*PI()*1000),0,(AG$61/(AE$49/2)^2*PI()*1000))</f>
        <v>0</v>
      </c>
      <c r="AF61" s="886"/>
      <c r="AG61" s="469">
        <f>$BF$16*0.62</f>
        <v>55.8</v>
      </c>
      <c r="AH61" s="886"/>
      <c r="AI61" s="470">
        <v>0.225</v>
      </c>
      <c r="AJ61" s="471"/>
      <c r="AK61" s="886"/>
      <c r="AL61" s="472"/>
      <c r="AM61" s="81"/>
      <c r="AO61" s="32"/>
      <c r="AR61" s="882"/>
      <c r="AS61" s="473">
        <f>BH17</f>
        <v>491.5569586255794</v>
      </c>
      <c r="AT61" s="884"/>
      <c r="AU61" s="474">
        <f>$BF$16*0.62</f>
        <v>55.8</v>
      </c>
      <c r="AV61" s="884"/>
      <c r="AW61" s="470">
        <v>0.225</v>
      </c>
      <c r="AX61" s="471"/>
      <c r="AY61" s="886"/>
      <c r="AZ61" s="472"/>
      <c r="BA61" s="472"/>
      <c r="BC61" s="846" t="s">
        <v>175</v>
      </c>
      <c r="BD61" s="846"/>
      <c r="BE61" s="419">
        <v>1</v>
      </c>
      <c r="BF61" s="420">
        <v>5</v>
      </c>
      <c r="BG61" s="421">
        <v>1</v>
      </c>
      <c r="BH61" s="420">
        <v>3</v>
      </c>
      <c r="BI61" s="39"/>
      <c r="BJ61" s="845" t="s">
        <v>129</v>
      </c>
      <c r="BK61" s="845"/>
      <c r="BL61" s="433">
        <v>0.5</v>
      </c>
      <c r="BM61" s="422">
        <v>2</v>
      </c>
      <c r="BN61" s="433">
        <v>0.3</v>
      </c>
      <c r="BO61" s="423">
        <v>1</v>
      </c>
      <c r="BU61" s="879" t="s">
        <v>104</v>
      </c>
      <c r="BV61" s="880"/>
      <c r="BW61" s="466">
        <v>0.38</v>
      </c>
      <c r="BX61" s="466">
        <v>0.38</v>
      </c>
      <c r="BY61" s="466">
        <v>0.38</v>
      </c>
      <c r="BZ61" s="466">
        <v>0.38</v>
      </c>
      <c r="CA61" s="467">
        <v>0.38</v>
      </c>
      <c r="CB61" s="466">
        <v>0.38</v>
      </c>
    </row>
    <row r="62" spans="2:80" ht="18" customHeight="1" thickBot="1">
      <c r="B62" s="83"/>
      <c r="C62" s="83"/>
      <c r="D62" s="83"/>
      <c r="E62" s="83"/>
      <c r="F62" s="83"/>
      <c r="G62" s="83"/>
      <c r="H62" s="83"/>
      <c r="I62" s="83"/>
      <c r="J62" s="83"/>
      <c r="K62" s="82"/>
      <c r="L62" s="32"/>
      <c r="M62" s="32"/>
      <c r="N62" s="32"/>
      <c r="O62" s="83"/>
      <c r="P62" s="83"/>
      <c r="Q62" s="83"/>
      <c r="R62" s="83"/>
      <c r="S62" s="83"/>
      <c r="T62" s="83"/>
      <c r="U62" s="83"/>
      <c r="V62" s="83"/>
      <c r="W62" s="83"/>
      <c r="X62" s="83"/>
      <c r="Y62" s="82"/>
      <c r="AA62" s="32"/>
      <c r="AB62" s="32"/>
      <c r="AC62" s="83"/>
      <c r="AD62" s="83"/>
      <c r="AE62" s="83"/>
      <c r="AF62" s="83"/>
      <c r="AG62" s="83"/>
      <c r="AH62" s="83"/>
      <c r="AI62" s="83"/>
      <c r="AJ62" s="83"/>
      <c r="AK62" s="83"/>
      <c r="AL62" s="83"/>
      <c r="AM62" s="82"/>
      <c r="AO62" s="32"/>
      <c r="AQ62" s="83"/>
      <c r="AR62" s="83"/>
      <c r="AS62" s="83"/>
      <c r="AT62" s="83"/>
      <c r="AU62" s="83"/>
      <c r="AV62" s="83"/>
      <c r="AW62" s="83"/>
      <c r="AX62" s="83"/>
      <c r="AY62" s="83"/>
      <c r="AZ62" s="83"/>
      <c r="BA62" s="472"/>
      <c r="BC62" s="846" t="s">
        <v>176</v>
      </c>
      <c r="BD62" s="846"/>
      <c r="BE62" s="419">
        <v>1</v>
      </c>
      <c r="BF62" s="420">
        <v>4</v>
      </c>
      <c r="BG62" s="421">
        <v>1</v>
      </c>
      <c r="BH62" s="420">
        <v>2</v>
      </c>
      <c r="BI62" s="39"/>
      <c r="BJ62" s="845" t="s">
        <v>130</v>
      </c>
      <c r="BK62" s="845"/>
      <c r="BL62" s="433">
        <v>0.5</v>
      </c>
      <c r="BM62" s="475">
        <v>1.5</v>
      </c>
      <c r="BN62" s="433">
        <v>0.2</v>
      </c>
      <c r="BO62" s="423">
        <v>1</v>
      </c>
      <c r="BU62" s="873" t="s">
        <v>188</v>
      </c>
      <c r="BV62" s="874"/>
      <c r="BW62" s="476"/>
      <c r="BX62" s="476"/>
      <c r="BY62" s="476">
        <v>0.7</v>
      </c>
      <c r="BZ62" s="476">
        <v>0.7</v>
      </c>
      <c r="CA62" s="476">
        <v>0.7</v>
      </c>
      <c r="CB62" s="476"/>
    </row>
    <row r="63" spans="2:80" ht="18" customHeight="1" thickBot="1" thickTop="1">
      <c r="B63" s="88" t="s">
        <v>88</v>
      </c>
      <c r="C63" s="85"/>
      <c r="G63" s="477"/>
      <c r="H63" s="477"/>
      <c r="I63" s="477"/>
      <c r="J63" s="83"/>
      <c r="K63" s="82"/>
      <c r="L63" s="32"/>
      <c r="M63" s="32"/>
      <c r="N63" s="32"/>
      <c r="O63" s="83"/>
      <c r="P63" s="478" t="s">
        <v>89</v>
      </c>
      <c r="Q63" s="479" t="s">
        <v>83</v>
      </c>
      <c r="R63" s="875" t="s">
        <v>91</v>
      </c>
      <c r="S63" s="876"/>
      <c r="T63" s="876"/>
      <c r="U63" s="480" t="s">
        <v>93</v>
      </c>
      <c r="V63" s="481" t="s">
        <v>90</v>
      </c>
      <c r="W63" s="481"/>
      <c r="X63" s="83"/>
      <c r="Y63" s="82"/>
      <c r="AA63" s="32"/>
      <c r="AB63" s="32"/>
      <c r="AC63" s="83"/>
      <c r="AD63" s="478" t="s">
        <v>89</v>
      </c>
      <c r="AE63" s="479" t="s">
        <v>83</v>
      </c>
      <c r="AF63" s="875" t="s">
        <v>91</v>
      </c>
      <c r="AG63" s="876"/>
      <c r="AH63" s="876"/>
      <c r="AI63" s="480" t="s">
        <v>93</v>
      </c>
      <c r="AJ63" s="481" t="s">
        <v>90</v>
      </c>
      <c r="AK63" s="481"/>
      <c r="AL63" s="83"/>
      <c r="AM63" s="82"/>
      <c r="AO63" s="32"/>
      <c r="AQ63" s="83"/>
      <c r="AS63" s="877" t="s">
        <v>148</v>
      </c>
      <c r="AT63" s="878"/>
      <c r="AU63" s="482" t="s">
        <v>147</v>
      </c>
      <c r="AV63" s="483">
        <f>AY58</f>
        <v>0.3368707077105804</v>
      </c>
      <c r="AW63" s="484" t="s">
        <v>146</v>
      </c>
      <c r="AX63" s="485">
        <f>AT58</f>
        <v>0.5</v>
      </c>
      <c r="AZ63" s="83"/>
      <c r="BA63" s="472"/>
      <c r="BC63" s="859" t="s">
        <v>179</v>
      </c>
      <c r="BD63" s="860"/>
      <c r="BE63" s="860"/>
      <c r="BF63" s="860"/>
      <c r="BG63" s="860"/>
      <c r="BH63" s="39"/>
      <c r="BI63" s="39"/>
      <c r="BJ63" s="845" t="s">
        <v>131</v>
      </c>
      <c r="BK63" s="845"/>
      <c r="BL63" s="433">
        <v>0.5</v>
      </c>
      <c r="BM63" s="422">
        <v>1</v>
      </c>
      <c r="BN63" s="433">
        <v>0.1</v>
      </c>
      <c r="BO63" s="422">
        <v>1</v>
      </c>
      <c r="BU63" s="873" t="s">
        <v>188</v>
      </c>
      <c r="BV63" s="874"/>
      <c r="BW63" s="476"/>
      <c r="BX63" s="476"/>
      <c r="BY63" s="476">
        <v>0.3</v>
      </c>
      <c r="BZ63" s="476">
        <v>0.3</v>
      </c>
      <c r="CA63" s="476">
        <v>0.3</v>
      </c>
      <c r="CB63" s="476"/>
    </row>
    <row r="64" spans="2:80" ht="18" customHeight="1" thickTop="1">
      <c r="B64" s="92" t="s">
        <v>86</v>
      </c>
      <c r="C64" s="88" t="s">
        <v>167</v>
      </c>
      <c r="D64" s="83"/>
      <c r="E64" s="83"/>
      <c r="F64" s="83"/>
      <c r="G64" s="83"/>
      <c r="H64" s="83"/>
      <c r="I64" s="83"/>
      <c r="J64" s="83"/>
      <c r="K64" s="82"/>
      <c r="L64" s="32"/>
      <c r="M64" s="32"/>
      <c r="N64" s="32"/>
      <c r="O64" s="83"/>
      <c r="P64" s="83"/>
      <c r="Q64" s="83"/>
      <c r="R64" s="83"/>
      <c r="S64" s="83"/>
      <c r="T64" s="83"/>
      <c r="U64" s="83"/>
      <c r="V64" s="83"/>
      <c r="W64" s="83"/>
      <c r="X64" s="83"/>
      <c r="Y64" s="82"/>
      <c r="AA64" s="32"/>
      <c r="AB64" s="32"/>
      <c r="AC64" s="83"/>
      <c r="AD64" s="83"/>
      <c r="AE64" s="83"/>
      <c r="AF64" s="83"/>
      <c r="AG64" s="83"/>
      <c r="AH64" s="83"/>
      <c r="AI64" s="83"/>
      <c r="AJ64" s="83"/>
      <c r="AK64" s="83"/>
      <c r="AL64" s="83"/>
      <c r="AM64" s="82"/>
      <c r="AO64" s="32"/>
      <c r="AQ64" s="83"/>
      <c r="AR64" s="83"/>
      <c r="AY64" s="83"/>
      <c r="AZ64" s="83"/>
      <c r="BA64" s="472"/>
      <c r="BC64" s="328"/>
      <c r="BD64" s="328"/>
      <c r="BE64" s="328"/>
      <c r="BF64" s="328"/>
      <c r="BG64" s="328"/>
      <c r="BH64" s="39"/>
      <c r="BI64" s="39"/>
      <c r="BJ64" s="859" t="s">
        <v>179</v>
      </c>
      <c r="BK64" s="860"/>
      <c r="BL64" s="860"/>
      <c r="BM64" s="860"/>
      <c r="BN64" s="860"/>
      <c r="BO64" s="39"/>
      <c r="BU64" s="869" t="str">
        <f>BC45</f>
        <v>間伐前</v>
      </c>
      <c r="BV64" s="870"/>
      <c r="BW64" s="486">
        <f>$AU$57/BF12</f>
        <v>0.8137641444444446</v>
      </c>
      <c r="BX64" s="487">
        <f>((BX68)/(0.4))</f>
        <v>0.37538777235696125</v>
      </c>
      <c r="BY64" s="487">
        <f>BY68/BK12</f>
        <v>0.6513394354722767</v>
      </c>
      <c r="BZ64" s="486">
        <f>BZ68/$AT$47</f>
        <v>0.3358348968105063</v>
      </c>
      <c r="CA64" s="488">
        <f>(CA68-BJ15)/(BJ12-BJ15)</f>
        <v>0.38382444910421964</v>
      </c>
      <c r="CB64" s="486">
        <f>$AS$57/(BF12/(($AS$47/100/2)^2*PI()))</f>
        <v>0.7539925035042092</v>
      </c>
    </row>
    <row r="65" spans="2:82" ht="18" customHeight="1">
      <c r="B65" s="489"/>
      <c r="C65" s="88" t="s">
        <v>168</v>
      </c>
      <c r="L65" s="32"/>
      <c r="M65" s="32"/>
      <c r="N65" s="32"/>
      <c r="AA65" s="32"/>
      <c r="AB65" s="32"/>
      <c r="AO65" s="32"/>
      <c r="BC65" s="490"/>
      <c r="BD65" s="328"/>
      <c r="BE65" s="328"/>
      <c r="BF65" s="328"/>
      <c r="BG65" s="328"/>
      <c r="BH65" s="328"/>
      <c r="BI65" s="328"/>
      <c r="BJ65" s="328"/>
      <c r="BK65" s="39"/>
      <c r="BL65" s="39"/>
      <c r="BM65" s="39"/>
      <c r="BN65" s="39"/>
      <c r="BO65" s="39"/>
      <c r="BU65" s="869" t="str">
        <f>BC46</f>
        <v>間伐後</v>
      </c>
      <c r="BV65" s="870"/>
      <c r="BW65" s="486">
        <f>$AU$59/BF16</f>
        <v>0.550321851388889</v>
      </c>
      <c r="BX65" s="487">
        <f>((BX69-0)/(0.4))</f>
        <v>0.5068665100027858</v>
      </c>
      <c r="BY65" s="487">
        <f>BY69/BK16</f>
        <v>0.5721027386662538</v>
      </c>
      <c r="BZ65" s="486">
        <f>BZ69/$AT$49</f>
        <v>0.35632183908045945</v>
      </c>
      <c r="CA65" s="488">
        <f>(CA69-BJ19)/(BJ16-BJ19)</f>
        <v>0.4369844489519947</v>
      </c>
      <c r="CB65" s="486">
        <f>$AS$59/(BF16/(($AS$49/100/2)^2*PI()))</f>
        <v>0.5360518153110082</v>
      </c>
      <c r="CD65" s="491"/>
    </row>
    <row r="66" spans="2:82" ht="18" customHeight="1">
      <c r="B66" s="489" t="s">
        <v>84</v>
      </c>
      <c r="C66" s="88" t="s">
        <v>116</v>
      </c>
      <c r="Y66" s="492"/>
      <c r="Z66" s="493"/>
      <c r="AA66" s="95"/>
      <c r="AB66" s="95"/>
      <c r="AC66" s="481"/>
      <c r="AO66" s="32"/>
      <c r="BC66" s="201"/>
      <c r="BD66" s="201"/>
      <c r="BE66" s="201"/>
      <c r="BF66" s="328"/>
      <c r="BG66" s="328"/>
      <c r="BH66" s="201"/>
      <c r="BI66" s="201"/>
      <c r="BJ66" s="201"/>
      <c r="BK66" s="39"/>
      <c r="BL66" s="328"/>
      <c r="BM66" s="39"/>
      <c r="BN66" s="39"/>
      <c r="BO66" s="328"/>
      <c r="BU66" s="871" t="str">
        <f>BC47</f>
        <v>１０年先の間伐前</v>
      </c>
      <c r="BV66" s="872"/>
      <c r="BW66" s="494">
        <f>BW70/BF20</f>
        <v>0.7120668864041887</v>
      </c>
      <c r="BX66" s="495">
        <f>(BX70-0)/(0.4)</f>
        <v>0.4503911328437011</v>
      </c>
      <c r="BY66" s="495">
        <f>BY70/BK20</f>
        <v>0.5980987847902782</v>
      </c>
      <c r="BZ66" s="494">
        <f>BJ47/BH47</f>
        <v>0.42804085422469795</v>
      </c>
      <c r="CA66" s="496">
        <f>(CA70-BJ23)/(BJ20-BJ23)</f>
        <v>0.41799115189251196</v>
      </c>
      <c r="CB66" s="494">
        <f>CB70/(BF20/((CA70/2)^2*PI()))</f>
        <v>0.7120668864041886</v>
      </c>
      <c r="CD66" s="491"/>
    </row>
    <row r="67" spans="2:82" ht="18" customHeight="1">
      <c r="B67" s="489" t="s">
        <v>85</v>
      </c>
      <c r="C67" s="88" t="s">
        <v>117</v>
      </c>
      <c r="AO67" s="32"/>
      <c r="BC67" s="245"/>
      <c r="BD67" s="245"/>
      <c r="BE67" s="245"/>
      <c r="BF67" s="245"/>
      <c r="BG67" s="245"/>
      <c r="BH67" s="328"/>
      <c r="BI67" s="328"/>
      <c r="BJ67" s="328"/>
      <c r="BK67" s="328"/>
      <c r="BL67" s="328"/>
      <c r="BM67" s="328"/>
      <c r="BN67" s="328"/>
      <c r="BO67" s="328"/>
      <c r="BU67" s="867" t="str">
        <f>BC48</f>
        <v>１０年先の間伐後</v>
      </c>
      <c r="BV67" s="868"/>
      <c r="BW67" s="497">
        <f>BN48/BF24</f>
        <v>0.52083728201903</v>
      </c>
      <c r="BX67" s="495">
        <f>(BX71-0)/(0.4)</f>
        <v>0.538320367365319</v>
      </c>
      <c r="BY67" s="497">
        <f>BL48/BK24</f>
        <v>0.5851016234181259</v>
      </c>
      <c r="BZ67" s="497">
        <f>BJ48/BH48</f>
        <v>0.42804085422469795</v>
      </c>
      <c r="CA67" s="497">
        <f>(CA71-BJ27)/(BJ24-BJ27)</f>
        <v>0.42727620296029284</v>
      </c>
      <c r="CB67" s="497">
        <f>BI48/(BF24/((BG48/100/2)^2*PI()))</f>
        <v>0.52083728201903</v>
      </c>
      <c r="CD67" s="491"/>
    </row>
    <row r="68" spans="2:80" ht="18" customHeight="1">
      <c r="B68" s="489" t="s">
        <v>87</v>
      </c>
      <c r="C68" s="88" t="s">
        <v>184</v>
      </c>
      <c r="BC68" s="245"/>
      <c r="BD68" s="245"/>
      <c r="BE68" s="245"/>
      <c r="BF68" s="245"/>
      <c r="BG68" s="245"/>
      <c r="BH68" s="245"/>
      <c r="BI68" s="245"/>
      <c r="BJ68" s="245"/>
      <c r="BK68" s="245"/>
      <c r="BL68" s="245"/>
      <c r="BM68" s="245"/>
      <c r="BN68" s="245"/>
      <c r="BO68" s="245"/>
      <c r="BU68" s="853" t="str">
        <f>BU64</f>
        <v>間伐前</v>
      </c>
      <c r="BV68" s="854"/>
      <c r="BW68" s="498">
        <f>$AU$57</f>
        <v>73.23877300000001</v>
      </c>
      <c r="BX68" s="499">
        <f>$AW$57</f>
        <v>0.1501551089427845</v>
      </c>
      <c r="BY68" s="500">
        <f>$AW$47</f>
        <v>71.64733790195044</v>
      </c>
      <c r="BZ68" s="501">
        <f>$AU$47</f>
        <v>7.671428571428564</v>
      </c>
      <c r="CA68" s="502">
        <f>$AS$47/100</f>
        <v>0.31882352941176473</v>
      </c>
      <c r="CB68" s="503">
        <f>$AS$57</f>
        <v>850</v>
      </c>
    </row>
    <row r="69" spans="3:80" ht="18" customHeight="1">
      <c r="C69" s="88"/>
      <c r="BC69" s="245"/>
      <c r="BD69" s="245"/>
      <c r="BE69" s="245"/>
      <c r="BH69" s="245"/>
      <c r="BI69" s="245"/>
      <c r="BJ69" s="245"/>
      <c r="BU69" s="853" t="str">
        <f>BU65</f>
        <v>間伐後</v>
      </c>
      <c r="BV69" s="854"/>
      <c r="BW69" s="498">
        <f>$AU$59</f>
        <v>49.52896662500001</v>
      </c>
      <c r="BX69" s="499">
        <f>$AW$59</f>
        <v>0.20274660400111436</v>
      </c>
      <c r="BY69" s="500">
        <f>$AW$49</f>
        <v>62.93130125328793</v>
      </c>
      <c r="BZ69" s="501">
        <f>$AU$49</f>
        <v>8.52499999999999</v>
      </c>
      <c r="CA69" s="504">
        <f>$AS$49/100</f>
        <v>0.3801764705882353</v>
      </c>
      <c r="CB69" s="503">
        <f>$AS$59</f>
        <v>425</v>
      </c>
    </row>
    <row r="70" spans="55:80" ht="18" customHeight="1">
      <c r="BC70" s="245"/>
      <c r="BD70" s="245"/>
      <c r="BE70" s="245"/>
      <c r="BH70" s="245"/>
      <c r="BI70" s="245"/>
      <c r="BJ70" s="245"/>
      <c r="BU70" s="853" t="str">
        <f>BU66</f>
        <v>１０年先の間伐前</v>
      </c>
      <c r="BV70" s="854"/>
      <c r="BW70" s="498">
        <f>BN47</f>
        <v>67.64635420839792</v>
      </c>
      <c r="BX70" s="499">
        <f>BM47</f>
        <v>0.18015645313748044</v>
      </c>
      <c r="BY70" s="500">
        <f>BL47</f>
        <v>59.80987847902782</v>
      </c>
      <c r="BZ70" s="501">
        <f>BJ47</f>
        <v>11.52499999999999</v>
      </c>
      <c r="CA70" s="504">
        <f>BG47/100</f>
        <v>0.4501764705882353</v>
      </c>
      <c r="CB70" s="503">
        <f>BI47</f>
        <v>425</v>
      </c>
    </row>
    <row r="71" spans="55:83" ht="18" customHeight="1">
      <c r="BC71" s="201"/>
      <c r="BD71" s="201"/>
      <c r="BE71" s="201"/>
      <c r="BH71" s="245"/>
      <c r="BI71" s="245"/>
      <c r="BJ71" s="245"/>
      <c r="BS71" s="400"/>
      <c r="BU71" s="853" t="str">
        <f>BU67</f>
        <v>１０年先の間伐後</v>
      </c>
      <c r="BV71" s="854"/>
      <c r="BW71" s="505">
        <f>BN48</f>
        <v>49.47954179180785</v>
      </c>
      <c r="BX71" s="506">
        <f>BM48</f>
        <v>0.2153281469461276</v>
      </c>
      <c r="BY71" s="507">
        <f>BL48</f>
        <v>58.51016234181259</v>
      </c>
      <c r="BZ71" s="508">
        <f>BJ48</f>
        <v>11.52499999999999</v>
      </c>
      <c r="CA71" s="509">
        <f>BG48/100</f>
        <v>0.4601764705882353</v>
      </c>
      <c r="CB71" s="510">
        <f>BI48</f>
        <v>297.5</v>
      </c>
      <c r="CE71" s="400"/>
    </row>
    <row r="72" spans="55:83" ht="18" customHeight="1">
      <c r="BC72" s="39"/>
      <c r="BD72" s="39"/>
      <c r="BE72" s="39"/>
      <c r="BH72" s="201"/>
      <c r="BI72" s="201"/>
      <c r="BJ72" s="201"/>
      <c r="BS72" s="414"/>
      <c r="BT72" s="400"/>
      <c r="BU72" s="400"/>
      <c r="BV72" s="400"/>
      <c r="BW72" s="400"/>
      <c r="BX72" s="400"/>
      <c r="BY72" s="400"/>
      <c r="BZ72" s="400"/>
      <c r="CA72" s="400"/>
      <c r="CB72" s="400"/>
      <c r="CC72" s="414"/>
      <c r="CE72" s="414"/>
    </row>
    <row r="73" spans="55:82" ht="18" customHeight="1">
      <c r="BC73" s="39"/>
      <c r="BD73" s="39"/>
      <c r="BE73" s="39"/>
      <c r="BH73" s="39"/>
      <c r="BI73" s="39"/>
      <c r="BJ73" s="39"/>
      <c r="BU73" s="414"/>
      <c r="BV73" s="414"/>
      <c r="BW73" s="511"/>
      <c r="BX73" s="414"/>
      <c r="BY73" s="414"/>
      <c r="BZ73" s="414"/>
      <c r="CA73" s="414"/>
      <c r="CB73" s="414"/>
      <c r="CD73" s="400"/>
    </row>
    <row r="74" spans="55:82" ht="18" customHeight="1">
      <c r="BC74" s="272"/>
      <c r="BD74" s="272"/>
      <c r="BE74" s="272"/>
      <c r="BH74" s="39"/>
      <c r="BI74" s="39"/>
      <c r="BJ74" s="39"/>
      <c r="CD74" s="414"/>
    </row>
    <row r="75" spans="55:62" ht="18" customHeight="1">
      <c r="BC75" s="39"/>
      <c r="BD75" s="39"/>
      <c r="BE75" s="39"/>
      <c r="BH75" s="39"/>
      <c r="BI75" s="39"/>
      <c r="BJ75" s="272"/>
    </row>
    <row r="76" spans="55:70" ht="18" customHeight="1">
      <c r="BC76" s="39"/>
      <c r="BD76" s="39"/>
      <c r="BE76" s="39"/>
      <c r="BH76" s="512"/>
      <c r="BI76" s="39"/>
      <c r="BJ76" s="39"/>
      <c r="BP76" s="272"/>
      <c r="BQ76" s="272"/>
      <c r="BR76" s="272"/>
    </row>
    <row r="77" spans="55:70" ht="14.25">
      <c r="BC77" s="328"/>
      <c r="BD77" s="328"/>
      <c r="BE77" s="328"/>
      <c r="BH77" s="328"/>
      <c r="BI77" s="328"/>
      <c r="BJ77" s="39"/>
      <c r="BP77" s="39"/>
      <c r="BQ77" s="39"/>
      <c r="BR77" s="39"/>
    </row>
    <row r="78" spans="55:70" ht="14.25">
      <c r="BC78" s="328"/>
      <c r="BD78" s="328"/>
      <c r="BE78" s="328"/>
      <c r="BH78" s="245"/>
      <c r="BI78" s="328"/>
      <c r="BJ78" s="328"/>
      <c r="BP78" s="39"/>
      <c r="BQ78" s="39"/>
      <c r="BR78" s="39"/>
    </row>
    <row r="79" spans="55:70" ht="14.25">
      <c r="BC79" s="385"/>
      <c r="BD79" s="245"/>
      <c r="BE79" s="245"/>
      <c r="BH79" s="245"/>
      <c r="BI79" s="245"/>
      <c r="BJ79" s="328"/>
      <c r="BP79" s="328"/>
      <c r="BQ79" s="328"/>
      <c r="BR79" s="328"/>
    </row>
    <row r="80" spans="60:70" ht="14.25">
      <c r="BH80" s="245"/>
      <c r="BI80" s="245"/>
      <c r="BJ80" s="245"/>
      <c r="BP80" s="328"/>
      <c r="BQ80" s="328"/>
      <c r="BR80" s="328"/>
    </row>
    <row r="81" spans="68:70" ht="14.25">
      <c r="BP81" s="245"/>
      <c r="BQ81" s="245"/>
      <c r="BR81" s="245"/>
    </row>
  </sheetData>
  <sheetProtection/>
  <mergeCells count="177">
    <mergeCell ref="BK3:BL3"/>
    <mergeCell ref="BW3:BZ3"/>
    <mergeCell ref="B2:J2"/>
    <mergeCell ref="AR2:AS2"/>
    <mergeCell ref="AU2:AW2"/>
    <mergeCell ref="E3:H3"/>
    <mergeCell ref="AU3:AX3"/>
    <mergeCell ref="CB3:CC3"/>
    <mergeCell ref="E4:H4"/>
    <mergeCell ref="Q4:X4"/>
    <mergeCell ref="AU4:AX4"/>
    <mergeCell ref="AZ4:BA4"/>
    <mergeCell ref="BF4:BI4"/>
    <mergeCell ref="BK4:BL4"/>
    <mergeCell ref="BW4:BZ4"/>
    <mergeCell ref="AZ3:BA3"/>
    <mergeCell ref="BF3:BI3"/>
    <mergeCell ref="E5:J5"/>
    <mergeCell ref="AU5:BA5"/>
    <mergeCell ref="BF5:BL5"/>
    <mergeCell ref="BW5:CC5"/>
    <mergeCell ref="C6:D6"/>
    <mergeCell ref="H6:J6"/>
    <mergeCell ref="AS6:AT6"/>
    <mergeCell ref="AX6:BA6"/>
    <mergeCell ref="BD6:BE6"/>
    <mergeCell ref="BI6:BL6"/>
    <mergeCell ref="BU6:BV6"/>
    <mergeCell ref="BZ6:CC6"/>
    <mergeCell ref="B8:C8"/>
    <mergeCell ref="E8:F8"/>
    <mergeCell ref="G8:H8"/>
    <mergeCell ref="P8:Q8"/>
    <mergeCell ref="S8:T8"/>
    <mergeCell ref="U8:V8"/>
    <mergeCell ref="AD8:AE8"/>
    <mergeCell ref="AG8:AH8"/>
    <mergeCell ref="AI8:AJ8"/>
    <mergeCell ref="AR8:AT8"/>
    <mergeCell ref="AU8:AV8"/>
    <mergeCell ref="AW8:AX8"/>
    <mergeCell ref="BU8:BW8"/>
    <mergeCell ref="B9:B10"/>
    <mergeCell ref="C9:C10"/>
    <mergeCell ref="D9:D10"/>
    <mergeCell ref="M9:N10"/>
    <mergeCell ref="P9:P10"/>
    <mergeCell ref="Q9:Q10"/>
    <mergeCell ref="R9:R10"/>
    <mergeCell ref="AA9:AB10"/>
    <mergeCell ref="AD9:AD10"/>
    <mergeCell ref="AW9:AW10"/>
    <mergeCell ref="AX9:AX10"/>
    <mergeCell ref="AY9:AY10"/>
    <mergeCell ref="AE9:AE10"/>
    <mergeCell ref="AF9:AF10"/>
    <mergeCell ref="AO9:AP10"/>
    <mergeCell ref="AR9:AR10"/>
    <mergeCell ref="AZ9:AZ10"/>
    <mergeCell ref="BA9:BA10"/>
    <mergeCell ref="BF10:BF11"/>
    <mergeCell ref="BG10:BG11"/>
    <mergeCell ref="BH10:BH11"/>
    <mergeCell ref="BI10:BI11"/>
    <mergeCell ref="BJ10:BJ11"/>
    <mergeCell ref="BK10:BK11"/>
    <mergeCell ref="BM10:BM11"/>
    <mergeCell ref="BN10:BO10"/>
    <mergeCell ref="BU10:CB11"/>
    <mergeCell ref="BN11:BO11"/>
    <mergeCell ref="BS12:BT12"/>
    <mergeCell ref="BC13:BD14"/>
    <mergeCell ref="BE13:BE14"/>
    <mergeCell ref="BC17:BD18"/>
    <mergeCell ref="BE17:BE18"/>
    <mergeCell ref="BC21:BD22"/>
    <mergeCell ref="BE21:BE22"/>
    <mergeCell ref="BM21:BO22"/>
    <mergeCell ref="BM24:BM25"/>
    <mergeCell ref="BN24:BO24"/>
    <mergeCell ref="BC25:BD26"/>
    <mergeCell ref="BE25:BE26"/>
    <mergeCell ref="BN25:BO25"/>
    <mergeCell ref="BM36:BO37"/>
    <mergeCell ref="B43:B44"/>
    <mergeCell ref="G43:G44"/>
    <mergeCell ref="P43:P44"/>
    <mergeCell ref="U43:U44"/>
    <mergeCell ref="AD43:AD44"/>
    <mergeCell ref="AI43:AI44"/>
    <mergeCell ref="AR43:AR44"/>
    <mergeCell ref="AW43:AW44"/>
    <mergeCell ref="BC43:BD44"/>
    <mergeCell ref="BE43:BF43"/>
    <mergeCell ref="BL43:BL44"/>
    <mergeCell ref="BM43:BM44"/>
    <mergeCell ref="BN43:BN44"/>
    <mergeCell ref="BC45:BD45"/>
    <mergeCell ref="BC46:BD46"/>
    <mergeCell ref="BC47:BD47"/>
    <mergeCell ref="BC48:BD48"/>
    <mergeCell ref="B50:B51"/>
    <mergeCell ref="D50:D51"/>
    <mergeCell ref="P50:P51"/>
    <mergeCell ref="R50:R51"/>
    <mergeCell ref="AD50:AD51"/>
    <mergeCell ref="AF50:AF51"/>
    <mergeCell ref="AR50:AR51"/>
    <mergeCell ref="AT50:AT51"/>
    <mergeCell ref="C53:D53"/>
    <mergeCell ref="E53:F53"/>
    <mergeCell ref="H53:I53"/>
    <mergeCell ref="Q53:R53"/>
    <mergeCell ref="S53:T53"/>
    <mergeCell ref="V53:W53"/>
    <mergeCell ref="AE53:AF53"/>
    <mergeCell ref="AG53:AH53"/>
    <mergeCell ref="AJ53:AK53"/>
    <mergeCell ref="AS53:AT53"/>
    <mergeCell ref="AU53:AV53"/>
    <mergeCell ref="AX53:AY53"/>
    <mergeCell ref="BC54:BD55"/>
    <mergeCell ref="BE54:BH54"/>
    <mergeCell ref="BJ54:BK55"/>
    <mergeCell ref="BL54:BO54"/>
    <mergeCell ref="BE55:BF55"/>
    <mergeCell ref="BG55:BH55"/>
    <mergeCell ref="BL55:BM55"/>
    <mergeCell ref="BN55:BO55"/>
    <mergeCell ref="BC56:BD56"/>
    <mergeCell ref="BJ56:BK56"/>
    <mergeCell ref="BC57:BD57"/>
    <mergeCell ref="BJ57:BK57"/>
    <mergeCell ref="BC58:BD58"/>
    <mergeCell ref="BJ58:BK58"/>
    <mergeCell ref="BC59:BD59"/>
    <mergeCell ref="BJ59:BK59"/>
    <mergeCell ref="B60:B61"/>
    <mergeCell ref="D60:D61"/>
    <mergeCell ref="F60:F61"/>
    <mergeCell ref="I60:I61"/>
    <mergeCell ref="P60:P61"/>
    <mergeCell ref="R60:R61"/>
    <mergeCell ref="T60:T61"/>
    <mergeCell ref="W60:W61"/>
    <mergeCell ref="AD60:AD61"/>
    <mergeCell ref="AF60:AF61"/>
    <mergeCell ref="AH60:AH61"/>
    <mergeCell ref="AK60:AK61"/>
    <mergeCell ref="AR60:AR61"/>
    <mergeCell ref="AT60:AT61"/>
    <mergeCell ref="AV60:AV61"/>
    <mergeCell ref="AY60:AY61"/>
    <mergeCell ref="BC60:BD60"/>
    <mergeCell ref="BJ60:BK60"/>
    <mergeCell ref="BU60:BV60"/>
    <mergeCell ref="BC61:BD61"/>
    <mergeCell ref="BJ61:BK61"/>
    <mergeCell ref="BU61:BV61"/>
    <mergeCell ref="BC62:BD62"/>
    <mergeCell ref="BJ62:BK62"/>
    <mergeCell ref="BU62:BV62"/>
    <mergeCell ref="R63:T63"/>
    <mergeCell ref="AF63:AH63"/>
    <mergeCell ref="AS63:AT63"/>
    <mergeCell ref="BC63:BG63"/>
    <mergeCell ref="BJ63:BK63"/>
    <mergeCell ref="BU63:BV63"/>
    <mergeCell ref="BJ64:BN64"/>
    <mergeCell ref="BU64:BV64"/>
    <mergeCell ref="BU65:BV65"/>
    <mergeCell ref="BU66:BV66"/>
    <mergeCell ref="BU71:BV71"/>
    <mergeCell ref="BU67:BV67"/>
    <mergeCell ref="BU68:BV68"/>
    <mergeCell ref="BU69:BV69"/>
    <mergeCell ref="BU70:BV70"/>
  </mergeCells>
  <conditionalFormatting sqref="C49 E49 Q49 S49 AE49 AG49 AS49 AU49 AW49">
    <cfRule type="cellIs" priority="1" dxfId="2" operator="equal" stopIfTrue="1">
      <formula>0</formula>
    </cfRule>
    <cfRule type="cellIs" priority="2" dxfId="3" operator="notBetween" stopIfTrue="1">
      <formula>C50</formula>
      <formula>C51</formula>
    </cfRule>
    <cfRule type="cellIs" priority="3" dxfId="1" operator="between" stopIfTrue="1">
      <formula>C50</formula>
      <formula>C51</formula>
    </cfRule>
  </conditionalFormatting>
  <conditionalFormatting sqref="G49 U49 AI49 AS59 AU59 AW59">
    <cfRule type="cellIs" priority="4" dxfId="2" operator="equal" stopIfTrue="1">
      <formula>0</formula>
    </cfRule>
    <cfRule type="cellIs" priority="5" dxfId="1" operator="between" stopIfTrue="1">
      <formula>G50</formula>
      <formula>G51</formula>
    </cfRule>
    <cfRule type="cellIs" priority="6" dxfId="3" operator="notBetween" stopIfTrue="1">
      <formula>G50</formula>
      <formula>G51</formula>
    </cfRule>
  </conditionalFormatting>
  <conditionalFormatting sqref="E59 G59 C59 S59 U59 Q59 AG59 AI59 AE59">
    <cfRule type="cellIs" priority="7" dxfId="2" operator="equal" stopIfTrue="1">
      <formula>0</formula>
    </cfRule>
    <cfRule type="cellIs" priority="8" dxfId="1" operator="between" stopIfTrue="1">
      <formula>C60</formula>
      <formula>C61</formula>
    </cfRule>
    <cfRule type="cellIs" priority="9" dxfId="0" operator="notBetween" stopIfTrue="1">
      <formula>C60</formula>
      <formula>C61</formula>
    </cfRule>
  </conditionalFormatting>
  <dataValidations count="1">
    <dataValidation type="list" allowBlank="1" showInputMessage="1" showErrorMessage="1" sqref="C4 D11:D35 AF23:AF35 R11:R35">
      <formula1>樹木</formula1>
    </dataValidation>
  </dataValidations>
  <printOptions/>
  <pageMargins left="0.7874015748031497" right="0.3937007874015748" top="0.984251968503937" bottom="0.984251968503937" header="0.5118110236220472" footer="0.5118110236220472"/>
  <pageSetup horizontalDpi="600" verticalDpi="600" orientation="portrait" paperSize="9" scale="60" r:id="rId4"/>
  <colBreaks count="3" manualBreakCount="3">
    <brk id="28" max="65535" man="1"/>
    <brk id="53" max="65535" man="1"/>
    <brk id="69" max="65535" man="1"/>
  </colBreaks>
  <drawing r:id="rId3"/>
  <legacyDrawing r:id="rId2"/>
</worksheet>
</file>

<file path=xl/worksheets/sheet3.xml><?xml version="1.0" encoding="utf-8"?>
<worksheet xmlns="http://schemas.openxmlformats.org/spreadsheetml/2006/main" xmlns:r="http://schemas.openxmlformats.org/officeDocument/2006/relationships">
  <sheetPr codeName="Sheet2"/>
  <dimension ref="A1:J41"/>
  <sheetViews>
    <sheetView zoomScalePageLayoutView="0" workbookViewId="0" topLeftCell="A1">
      <selection activeCell="E36" sqref="E36"/>
    </sheetView>
  </sheetViews>
  <sheetFormatPr defaultColWidth="9.00390625" defaultRowHeight="13.5"/>
  <cols>
    <col min="2" max="2" width="11.75390625" style="0" customWidth="1"/>
    <col min="3" max="3" width="11.50390625" style="0" customWidth="1"/>
    <col min="4" max="4" width="11.375" style="0" customWidth="1"/>
    <col min="7" max="9" width="9.00390625" style="4" customWidth="1"/>
  </cols>
  <sheetData>
    <row r="1" ht="13.5">
      <c r="B1" t="s">
        <v>256</v>
      </c>
    </row>
    <row r="2" spans="1:7" ht="13.5">
      <c r="A2" t="s">
        <v>202</v>
      </c>
      <c r="B2" s="9" t="s">
        <v>201</v>
      </c>
      <c r="C2" s="9" t="s">
        <v>193</v>
      </c>
      <c r="D2" s="9" t="s">
        <v>194</v>
      </c>
      <c r="E2" s="9" t="s">
        <v>195</v>
      </c>
      <c r="F2" s="7"/>
      <c r="G2" s="523" t="s">
        <v>252</v>
      </c>
    </row>
    <row r="3" spans="2:10" ht="18">
      <c r="B3" s="529" t="s">
        <v>191</v>
      </c>
      <c r="C3" s="26">
        <v>-4.19207</v>
      </c>
      <c r="D3" s="26">
        <v>1.82696</v>
      </c>
      <c r="E3" s="26">
        <v>0.99227</v>
      </c>
      <c r="F3" s="3"/>
      <c r="G3" s="6" t="str">
        <f>"=IF(E11="","",ROUND(10^("&amp;C3&amp;"+LOG10(E11)*"&amp;D3&amp;"+LOG10(F$37)*"&amp;E3&amp;"),2))"</f>
        <v>=IF(E11=",",ROUND(10^(-4.19207+LOG10(E11)*1.82696+LOG10(F$37)*0.99227),2))</v>
      </c>
      <c r="H3" s="2"/>
      <c r="I3" s="2"/>
      <c r="J3" s="1"/>
    </row>
    <row r="4" spans="2:7" ht="18" customHeight="1">
      <c r="B4" s="529" t="s">
        <v>192</v>
      </c>
      <c r="C4" s="26">
        <v>-4.31101</v>
      </c>
      <c r="D4" s="26">
        <v>1.83546</v>
      </c>
      <c r="E4" s="26">
        <v>1.10655</v>
      </c>
      <c r="F4" s="3"/>
      <c r="G4" s="6" t="str">
        <f>"=IF(E11="","",ROUND(10^("&amp;C4&amp;"+LOG10(E11)*"&amp;D4&amp;"+LOG10(F$37)*"&amp;E4&amp;"),2))"</f>
        <v>=IF(E11=",",ROUND(10^(-4.31101+LOG10(E11)*1.83546+LOG10(F$37)*1.10655),2))</v>
      </c>
    </row>
    <row r="5" spans="1:7" ht="14.25">
      <c r="A5" s="524" t="s">
        <v>253</v>
      </c>
      <c r="B5" s="530"/>
      <c r="C5" s="5">
        <v>-4.097423</v>
      </c>
      <c r="D5" s="5">
        <v>1.871126</v>
      </c>
      <c r="E5" s="5">
        <v>0.863667</v>
      </c>
      <c r="G5" s="6" t="str">
        <f>"=IF(E11="","",ROUND(10^("&amp;C5&amp;"+LOG10(E11)*"&amp;D5&amp;"+LOG10(F$37)*"&amp;E5&amp;"),2))"</f>
        <v>=IF(E11=",",ROUND(10^(-4.097423+LOG10(E11)*1.871126+LOG10(F$37)*0.863667),2))</v>
      </c>
    </row>
    <row r="6" ht="13.5"/>
    <row r="7" ht="13.5"/>
    <row r="8" ht="13.5"/>
    <row r="9" spans="1:2" ht="15">
      <c r="A9" t="s">
        <v>196</v>
      </c>
      <c r="B9" s="525" t="s">
        <v>158</v>
      </c>
    </row>
    <row r="10" spans="2:4" ht="13.5">
      <c r="B10" s="531" t="s">
        <v>197</v>
      </c>
      <c r="C10" s="911" t="s">
        <v>254</v>
      </c>
      <c r="D10" s="911" t="s">
        <v>254</v>
      </c>
    </row>
    <row r="11" spans="2:4" ht="13.5">
      <c r="B11" s="17" t="s">
        <v>257</v>
      </c>
      <c r="C11" s="912"/>
      <c r="D11" s="912"/>
    </row>
    <row r="12" spans="2:8" ht="13.5">
      <c r="B12" s="9">
        <v>0</v>
      </c>
      <c r="C12" s="5">
        <f>'様式'!BO12</f>
        <v>55</v>
      </c>
      <c r="D12" s="5">
        <f>'様式'!BO12</f>
        <v>55</v>
      </c>
      <c r="F12" s="5" t="s">
        <v>199</v>
      </c>
      <c r="G12" s="8" t="s">
        <v>198</v>
      </c>
      <c r="H12" s="4" t="s">
        <v>251</v>
      </c>
    </row>
    <row r="13" spans="2:8" ht="13.5">
      <c r="B13" s="9">
        <f>VALUE(LEFT('様式'!BM13,2))</f>
        <v>15</v>
      </c>
      <c r="C13" s="5">
        <f>'様式'!BO13</f>
        <v>65</v>
      </c>
      <c r="D13" s="5">
        <f>'様式'!BO13</f>
        <v>65</v>
      </c>
      <c r="F13" s="527">
        <f>'様式'!C4</f>
        <v>0</v>
      </c>
      <c r="G13" s="528">
        <f>IF(OR(F13="スギ",F13="ヒノキ"),2,3)</f>
        <v>3</v>
      </c>
      <c r="H13" s="4" t="s">
        <v>250</v>
      </c>
    </row>
    <row r="14" spans="2:4" ht="13.5">
      <c r="B14" s="9">
        <f>VALUE(LEFT('様式'!BM14,2))</f>
        <v>20</v>
      </c>
      <c r="C14" s="5">
        <f>'様式'!BO14</f>
        <v>75</v>
      </c>
      <c r="D14" s="5">
        <f>'様式'!BO14</f>
        <v>75</v>
      </c>
    </row>
    <row r="15" spans="2:4" ht="13.5">
      <c r="B15" s="9">
        <f>VALUE(LEFT('様式'!BM15,2))</f>
        <v>25</v>
      </c>
      <c r="C15" s="5">
        <f>'様式'!BO15</f>
        <v>85</v>
      </c>
      <c r="D15" s="5">
        <f>'様式'!BO15</f>
        <v>85</v>
      </c>
    </row>
    <row r="16" spans="2:4" ht="13.5">
      <c r="B16" s="9">
        <f>VALUE(LEFT('様式'!BM16,2))</f>
        <v>30</v>
      </c>
      <c r="C16" s="5">
        <f>'様式'!BO16</f>
        <v>90</v>
      </c>
      <c r="D16" s="5">
        <f>'様式'!BO16</f>
        <v>90</v>
      </c>
    </row>
    <row r="17" spans="2:4" ht="13.5">
      <c r="B17" s="9">
        <f>VALUE(LEFT('様式'!BM17,2))</f>
        <v>40</v>
      </c>
      <c r="C17" s="5">
        <f>'様式'!BO17</f>
        <v>95</v>
      </c>
      <c r="D17" s="5">
        <f>'様式'!BO17</f>
        <v>95</v>
      </c>
    </row>
    <row r="18" spans="2:4" ht="13.5">
      <c r="B18" s="9">
        <f>VALUE(LEFT('様式'!BM18,2))</f>
        <v>50</v>
      </c>
      <c r="C18" s="5">
        <f>'様式'!BO18</f>
        <v>100</v>
      </c>
      <c r="D18" s="5">
        <f>'様式'!BO18</f>
        <v>100</v>
      </c>
    </row>
    <row r="19" spans="2:4" ht="13.5">
      <c r="B19" s="9">
        <f>VALUE(LEFT('様式'!BM19,2))</f>
        <v>70</v>
      </c>
      <c r="C19" s="5">
        <f>'様式'!BO19</f>
        <v>100</v>
      </c>
      <c r="D19" s="5">
        <f>'様式'!BO19</f>
        <v>100</v>
      </c>
    </row>
    <row r="20" spans="2:4" ht="13.5">
      <c r="B20" s="9">
        <f>VALUE(LEFT('様式'!BM20,2))</f>
        <v>90</v>
      </c>
      <c r="C20" s="5">
        <f>'様式'!BO20</f>
        <v>100</v>
      </c>
      <c r="D20" s="5">
        <f>'様式'!BO20</f>
        <v>100</v>
      </c>
    </row>
    <row r="21" ht="13.5"/>
    <row r="22" ht="13.5"/>
    <row r="23" spans="1:2" ht="14.25">
      <c r="A23" t="s">
        <v>196</v>
      </c>
      <c r="B23" s="526" t="str">
        <f>'様式'!BM23</f>
        <v>表２　限界形状比の目安</v>
      </c>
    </row>
    <row r="24" spans="2:4" ht="13.5">
      <c r="B24" s="531" t="s">
        <v>197</v>
      </c>
      <c r="C24" s="911" t="s">
        <v>254</v>
      </c>
      <c r="D24" s="911" t="s">
        <v>255</v>
      </c>
    </row>
    <row r="25" spans="2:4" ht="13.5">
      <c r="B25" s="17" t="s">
        <v>257</v>
      </c>
      <c r="C25" s="912"/>
      <c r="D25" s="913"/>
    </row>
    <row r="26" spans="2:4" ht="13.5">
      <c r="B26" s="9">
        <v>0</v>
      </c>
      <c r="C26" s="5">
        <f>'様式'!BN26</f>
        <v>150</v>
      </c>
      <c r="D26" s="5">
        <f>C26</f>
        <v>150</v>
      </c>
    </row>
    <row r="27" spans="2:4" ht="13.5">
      <c r="B27" s="9">
        <f>VALUE(LEFT('様式'!BM27,2))</f>
        <v>15</v>
      </c>
      <c r="C27" s="5">
        <f>'様式'!BN27</f>
        <v>140</v>
      </c>
      <c r="D27" s="5">
        <f aca="true" t="shared" si="0" ref="D27:D35">C27</f>
        <v>140</v>
      </c>
    </row>
    <row r="28" spans="2:4" ht="13.5">
      <c r="B28" s="9">
        <f>VALUE(LEFT('様式'!BM28,2))</f>
        <v>20</v>
      </c>
      <c r="C28" s="5">
        <f>'様式'!BN28</f>
        <v>130</v>
      </c>
      <c r="D28" s="5">
        <f t="shared" si="0"/>
        <v>130</v>
      </c>
    </row>
    <row r="29" spans="2:4" ht="13.5">
      <c r="B29" s="9">
        <f>VALUE(LEFT('様式'!BM29,2))</f>
        <v>25</v>
      </c>
      <c r="C29" s="5">
        <f>'様式'!BN29</f>
        <v>120</v>
      </c>
      <c r="D29" s="5">
        <f t="shared" si="0"/>
        <v>120</v>
      </c>
    </row>
    <row r="30" spans="2:4" ht="13.5">
      <c r="B30" s="9">
        <f>VALUE(LEFT('様式'!BM30,2))</f>
        <v>30</v>
      </c>
      <c r="C30" s="5">
        <f>'様式'!BN30</f>
        <v>110</v>
      </c>
      <c r="D30" s="5">
        <f t="shared" si="0"/>
        <v>110</v>
      </c>
    </row>
    <row r="31" spans="2:4" ht="13.5">
      <c r="B31" s="9">
        <f>VALUE(LEFT('様式'!BM31,2))</f>
        <v>40</v>
      </c>
      <c r="C31" s="5">
        <f>'様式'!BN31</f>
        <v>100</v>
      </c>
      <c r="D31" s="5">
        <f t="shared" si="0"/>
        <v>100</v>
      </c>
    </row>
    <row r="32" spans="2:4" ht="13.5">
      <c r="B32" s="9">
        <f>VALUE(LEFT('様式'!BM32,2))</f>
        <v>50</v>
      </c>
      <c r="C32" s="5">
        <f>'様式'!BN32</f>
        <v>90</v>
      </c>
      <c r="D32" s="5">
        <f t="shared" si="0"/>
        <v>90</v>
      </c>
    </row>
    <row r="33" spans="2:4" ht="13.5">
      <c r="B33" s="9">
        <f>VALUE(LEFT('様式'!BM33,2))</f>
        <v>60</v>
      </c>
      <c r="C33" s="5">
        <f>'様式'!BN33</f>
        <v>80</v>
      </c>
      <c r="D33" s="5">
        <f t="shared" si="0"/>
        <v>80</v>
      </c>
    </row>
    <row r="34" spans="2:4" ht="13.5">
      <c r="B34" s="9">
        <f>VALUE(LEFT('様式'!BM34,2))</f>
        <v>70</v>
      </c>
      <c r="C34" s="5">
        <f>'様式'!BN34</f>
        <v>70</v>
      </c>
      <c r="D34" s="5">
        <f t="shared" si="0"/>
        <v>70</v>
      </c>
    </row>
    <row r="35" spans="2:4" ht="13.5">
      <c r="B35" s="9">
        <f>VALUE(LEFT('様式'!BM35,2))</f>
        <v>90</v>
      </c>
      <c r="C35" s="5">
        <f>'様式'!BN35</f>
        <v>60</v>
      </c>
      <c r="D35" s="5">
        <f t="shared" si="0"/>
        <v>60</v>
      </c>
    </row>
    <row r="37" ht="13.5">
      <c r="B37">
        <f>LEFT('様式'!BM37,2)</f>
      </c>
    </row>
    <row r="38" ht="13.5">
      <c r="B38">
        <f>LEFT('様式'!BM38,2)</f>
      </c>
    </row>
    <row r="39" ht="13.5">
      <c r="B39">
        <f>LEFT('様式'!BM39,2)</f>
      </c>
    </row>
    <row r="40" ht="13.5">
      <c r="B40">
        <f>LEFT('様式'!BM40,2)</f>
      </c>
    </row>
    <row r="41" ht="13.5">
      <c r="B41">
        <f>LEFT('様式'!BM41,2)</f>
      </c>
    </row>
  </sheetData>
  <sheetProtection sheet="1"/>
  <mergeCells count="4">
    <mergeCell ref="C10:C11"/>
    <mergeCell ref="D10:D11"/>
    <mergeCell ref="C24:C25"/>
    <mergeCell ref="D24:D25"/>
  </mergeCells>
  <printOptions/>
  <pageMargins left="0.75" right="0.75" top="1" bottom="1" header="0.512" footer="0.512"/>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3"/>
  <dimension ref="B1:E31"/>
  <sheetViews>
    <sheetView zoomScalePageLayoutView="0" workbookViewId="0" topLeftCell="C1">
      <selection activeCell="B33" sqref="B33"/>
    </sheetView>
  </sheetViews>
  <sheetFormatPr defaultColWidth="9.00390625" defaultRowHeight="13.5"/>
  <cols>
    <col min="3" max="3" width="25.00390625" style="0" customWidth="1"/>
    <col min="4" max="4" width="36.375" style="0" customWidth="1"/>
    <col min="5" max="5" width="31.50390625" style="0" customWidth="1"/>
  </cols>
  <sheetData>
    <row r="1" ht="18.75">
      <c r="B1" s="11" t="s">
        <v>203</v>
      </c>
    </row>
    <row r="2" spans="2:3" ht="13.5">
      <c r="B2" t="s">
        <v>214</v>
      </c>
      <c r="C2" t="s">
        <v>215</v>
      </c>
    </row>
    <row r="3" ht="13.5">
      <c r="C3" t="s">
        <v>216</v>
      </c>
    </row>
    <row r="5" spans="2:3" ht="13.5">
      <c r="B5" t="s">
        <v>217</v>
      </c>
      <c r="C5" t="s">
        <v>218</v>
      </c>
    </row>
    <row r="8" spans="2:4" ht="13.5">
      <c r="B8" t="s">
        <v>211</v>
      </c>
      <c r="C8" t="s">
        <v>221</v>
      </c>
      <c r="D8" t="s">
        <v>205</v>
      </c>
    </row>
    <row r="9" spans="3:4" ht="13.5">
      <c r="C9" s="12" t="s">
        <v>204</v>
      </c>
      <c r="D9" s="9" t="s">
        <v>206</v>
      </c>
    </row>
    <row r="10" spans="3:4" ht="13.5">
      <c r="C10" s="12" t="s">
        <v>209</v>
      </c>
      <c r="D10" s="9" t="s">
        <v>207</v>
      </c>
    </row>
    <row r="11" spans="3:4" ht="13.5">
      <c r="C11" s="12" t="s">
        <v>210</v>
      </c>
      <c r="D11" s="9" t="s">
        <v>208</v>
      </c>
    </row>
    <row r="13" spans="2:3" ht="18.75">
      <c r="B13" t="s">
        <v>213</v>
      </c>
      <c r="C13" s="10" t="s">
        <v>212</v>
      </c>
    </row>
    <row r="15" spans="2:5" ht="13.5">
      <c r="B15" t="s">
        <v>219</v>
      </c>
      <c r="C15" s="13" t="s">
        <v>222</v>
      </c>
      <c r="D15" s="13" t="s">
        <v>223</v>
      </c>
      <c r="E15" s="14" t="s">
        <v>225</v>
      </c>
    </row>
    <row r="16" spans="3:5" ht="13.5">
      <c r="C16" s="13" t="s">
        <v>220</v>
      </c>
      <c r="D16" s="13" t="s">
        <v>237</v>
      </c>
      <c r="E16" s="14" t="s">
        <v>226</v>
      </c>
    </row>
    <row r="17" spans="3:5" ht="13.5">
      <c r="C17" s="15"/>
      <c r="D17" s="15"/>
      <c r="E17" s="16" t="s">
        <v>227</v>
      </c>
    </row>
    <row r="18" spans="3:5" ht="13.5">
      <c r="C18" s="15"/>
      <c r="D18" s="15"/>
      <c r="E18" s="16" t="s">
        <v>228</v>
      </c>
    </row>
    <row r="19" spans="3:5" ht="13.5">
      <c r="C19" s="17"/>
      <c r="D19" s="17"/>
      <c r="E19" s="18"/>
    </row>
    <row r="20" spans="3:5" ht="13.5">
      <c r="C20" s="13" t="s">
        <v>230</v>
      </c>
      <c r="D20" s="13" t="s">
        <v>224</v>
      </c>
      <c r="E20" s="14"/>
    </row>
    <row r="21" spans="3:5" ht="13.5">
      <c r="C21" s="15"/>
      <c r="D21" s="15" t="s">
        <v>232</v>
      </c>
      <c r="E21" s="16"/>
    </row>
    <row r="22" spans="3:5" ht="13.5">
      <c r="C22" s="15"/>
      <c r="D22" s="15" t="s">
        <v>233</v>
      </c>
      <c r="E22" s="15"/>
    </row>
    <row r="23" spans="3:5" ht="13.5">
      <c r="C23" s="17"/>
      <c r="D23" s="17"/>
      <c r="E23" s="15" t="s">
        <v>229</v>
      </c>
    </row>
    <row r="24" spans="3:5" ht="13.5">
      <c r="C24" s="15" t="s">
        <v>234</v>
      </c>
      <c r="D24" s="15" t="s">
        <v>236</v>
      </c>
      <c r="E24" s="15" t="s">
        <v>231</v>
      </c>
    </row>
    <row r="25" spans="3:5" ht="13.5">
      <c r="C25" s="15"/>
      <c r="D25" s="15" t="s">
        <v>232</v>
      </c>
      <c r="E25" s="15"/>
    </row>
    <row r="26" spans="3:5" ht="13.5">
      <c r="C26" s="15" t="s">
        <v>238</v>
      </c>
      <c r="D26" s="15" t="s">
        <v>235</v>
      </c>
      <c r="E26" s="16"/>
    </row>
    <row r="27" spans="3:5" ht="13.5">
      <c r="C27" s="17"/>
      <c r="D27" s="17"/>
      <c r="E27" s="18"/>
    </row>
    <row r="28" spans="3:5" s="7" customFormat="1" ht="13.5">
      <c r="C28" s="19"/>
      <c r="D28" s="19"/>
      <c r="E28" s="19"/>
    </row>
    <row r="29" spans="2:5" ht="13.5">
      <c r="B29" t="s">
        <v>239</v>
      </c>
      <c r="C29" s="22"/>
      <c r="D29" s="23" t="s">
        <v>240</v>
      </c>
      <c r="E29" s="24"/>
    </row>
    <row r="30" spans="3:5" ht="39" customHeight="1">
      <c r="C30" s="25" t="s">
        <v>241</v>
      </c>
      <c r="D30" s="19"/>
      <c r="E30" s="14"/>
    </row>
    <row r="31" spans="3:5" ht="13.5">
      <c r="C31" s="20"/>
      <c r="D31" s="21"/>
      <c r="E31" s="18"/>
    </row>
  </sheetData>
  <sheetProtection/>
  <printOptions/>
  <pageMargins left="0.75" right="0.75" top="1" bottom="1" header="0.512" footer="0.512"/>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g4</dc:creator>
  <cp:keywords/>
  <dc:description/>
  <cp:lastModifiedBy>Kazutake</cp:lastModifiedBy>
  <cp:lastPrinted>2010-06-16T04:47:42Z</cp:lastPrinted>
  <dcterms:created xsi:type="dcterms:W3CDTF">2005-12-02T02:43:06Z</dcterms:created>
  <dcterms:modified xsi:type="dcterms:W3CDTF">2010-07-29T11:47:24Z</dcterms:modified>
  <cp:category/>
  <cp:version/>
  <cp:contentType/>
  <cp:contentStatus/>
</cp:coreProperties>
</file>